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5A السنة المالية 2021\صفحة الدائرة المالية\"/>
    </mc:Choice>
  </mc:AlternateContent>
  <xr:revisionPtr revIDLastSave="0" documentId="13_ncr:1_{80E9BE05-FD01-4D09-AD78-932D53067BAC}" xr6:coauthVersionLast="46" xr6:coauthVersionMax="46" xr10:uidLastSave="{00000000-0000-0000-0000-000000000000}"/>
  <bookViews>
    <workbookView xWindow="-120" yWindow="-120" windowWidth="20730" windowHeight="11160" tabRatio="997" activeTab="1" xr2:uid="{00000000-000D-0000-FFFF-FFFF00000000}"/>
  </bookViews>
  <sheets>
    <sheet name="الواجهة" sheetId="16" r:id="rId1"/>
    <sheet name="خلاصة" sheetId="8" r:id="rId2"/>
    <sheet name="ر-باب" sheetId="9" r:id="rId3"/>
    <sheet name="ن-باب" sheetId="10" r:id="rId4"/>
    <sheet name="ر-فصل" sheetId="11" r:id="rId5"/>
    <sheet name="ن-فصل" sheetId="12" r:id="rId6"/>
    <sheet name="ر-مواد" sheetId="13" r:id="rId7"/>
    <sheet name="ن-مواد" sheetId="14" r:id="rId8"/>
    <sheet name="ر-فرعي" sheetId="6" r:id="rId9"/>
    <sheet name="ن-فرعي" sheetId="4" r:id="rId10"/>
    <sheet name=" جهات" sheetId="7" r:id="rId11"/>
    <sheet name="غير نقدي" sheetId="27" r:id="rId12"/>
    <sheet name="غير نقدي حاسوب" sheetId="28" state="hidden" r:id="rId13"/>
    <sheet name="2020" sheetId="15" state="hidden" r:id="rId14"/>
  </sheets>
  <definedNames>
    <definedName name="_xlnm.Print_Area" localSheetId="10">' جهات'!$A$1:$L$526</definedName>
    <definedName name="_xlnm.Print_Area" localSheetId="1">خلاصة!$B$1:$P$26</definedName>
    <definedName name="_xlnm.Print_Area" localSheetId="2">'ر-باب'!$A$1:$F$32</definedName>
    <definedName name="_xlnm.Print_Area" localSheetId="8">'ر-فرعي'!$A$1:$I$207</definedName>
    <definedName name="_xlnm.Print_Area" localSheetId="4">'ر-فصل'!$A$1:$G$52</definedName>
    <definedName name="_xlnm.Print_Area" localSheetId="6">'ر-مواد'!$A$1:$G$159</definedName>
    <definedName name="_xlnm.Print_Area" localSheetId="3">'ن-باب'!$A$1:$H$46</definedName>
    <definedName name="_xlnm.Print_Area" localSheetId="9">'ن-فرعي'!$A$1:$K$415</definedName>
    <definedName name="_xlnm.Print_Area" localSheetId="5">'ن-فصل'!$A$1:$I$111</definedName>
    <definedName name="_xlnm.Print_Area" localSheetId="7">'ن-مواد'!$A$1:$I$274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7" l="1"/>
  <c r="D26" i="27"/>
  <c r="E26" i="27"/>
  <c r="F26" i="27"/>
  <c r="G26" i="27"/>
  <c r="H26" i="27"/>
  <c r="H34" i="27"/>
  <c r="H33" i="27"/>
  <c r="H35" i="27"/>
  <c r="C35" i="27"/>
  <c r="C34" i="27"/>
  <c r="C33" i="27"/>
  <c r="I4" i="27"/>
  <c r="I3" i="27"/>
  <c r="I6" i="27"/>
  <c r="I5" i="27"/>
  <c r="L16" i="8" l="1"/>
  <c r="M16" i="8"/>
  <c r="N16" i="8"/>
  <c r="K16" i="8"/>
  <c r="E16" i="8"/>
  <c r="F16" i="8"/>
  <c r="G16" i="8" s="1"/>
  <c r="D16" i="8"/>
  <c r="D17" i="8"/>
  <c r="C16" i="8"/>
  <c r="C17" i="8"/>
  <c r="C18" i="8"/>
  <c r="O17" i="8"/>
  <c r="J17" i="8"/>
  <c r="G41" i="11"/>
  <c r="G42" i="11"/>
  <c r="E41" i="11"/>
  <c r="F41" i="11"/>
  <c r="C41" i="11"/>
  <c r="D41" i="11"/>
  <c r="I99" i="12"/>
  <c r="I100" i="12"/>
  <c r="I101" i="12"/>
  <c r="E98" i="12"/>
  <c r="F98" i="12"/>
  <c r="G98" i="12"/>
  <c r="D98" i="12"/>
  <c r="C97" i="12"/>
  <c r="G119" i="13"/>
  <c r="G120" i="13"/>
  <c r="E119" i="13"/>
  <c r="F119" i="13"/>
  <c r="C119" i="13"/>
  <c r="D119" i="13"/>
  <c r="C118" i="13"/>
  <c r="I234" i="14"/>
  <c r="I235" i="14"/>
  <c r="I236" i="14"/>
  <c r="E233" i="14"/>
  <c r="F233" i="14"/>
  <c r="G233" i="14"/>
  <c r="D233" i="14"/>
  <c r="C232" i="14"/>
  <c r="I161" i="6"/>
  <c r="G524" i="7"/>
  <c r="K481" i="7"/>
  <c r="E370" i="4"/>
  <c r="I162" i="6"/>
  <c r="G483" i="7"/>
  <c r="K371" i="4"/>
  <c r="G367" i="4"/>
  <c r="H367" i="4"/>
  <c r="I367" i="4"/>
  <c r="J367" i="4"/>
  <c r="K367" i="4" s="1"/>
  <c r="G368" i="4"/>
  <c r="H368" i="4"/>
  <c r="I368" i="4"/>
  <c r="J368" i="4"/>
  <c r="K368" i="4" s="1"/>
  <c r="G369" i="4"/>
  <c r="H369" i="4"/>
  <c r="I369" i="4"/>
  <c r="J369" i="4"/>
  <c r="G370" i="4"/>
  <c r="H370" i="4"/>
  <c r="I370" i="4"/>
  <c r="G371" i="4"/>
  <c r="H371" i="4"/>
  <c r="I371" i="4"/>
  <c r="J371" i="4"/>
  <c r="F367" i="4"/>
  <c r="F368" i="4"/>
  <c r="F369" i="4"/>
  <c r="K369" i="4" s="1"/>
  <c r="F370" i="4"/>
  <c r="F371" i="4"/>
  <c r="E368" i="4"/>
  <c r="J16" i="8" s="1"/>
  <c r="E369" i="4"/>
  <c r="E371" i="4"/>
  <c r="E367" i="4"/>
  <c r="C233" i="14" l="1"/>
  <c r="C98" i="12"/>
  <c r="O16" i="8"/>
  <c r="P16" i="8" s="1"/>
  <c r="H233" i="14"/>
  <c r="I233" i="14" s="1"/>
  <c r="H98" i="12"/>
  <c r="I98" i="12" s="1"/>
  <c r="D15" i="8"/>
  <c r="F42" i="11" l="1"/>
  <c r="E40" i="11"/>
  <c r="F40" i="11"/>
  <c r="E42" i="11"/>
  <c r="D40" i="11"/>
  <c r="D42" i="11"/>
  <c r="C42" i="11"/>
  <c r="C43" i="11"/>
  <c r="C40" i="11"/>
  <c r="B102" i="12"/>
  <c r="G97" i="12"/>
  <c r="E99" i="12"/>
  <c r="F99" i="12"/>
  <c r="G99" i="12"/>
  <c r="H99" i="12"/>
  <c r="E100" i="12"/>
  <c r="F100" i="12"/>
  <c r="F101" i="12"/>
  <c r="G101" i="12"/>
  <c r="D99" i="12"/>
  <c r="D100" i="12"/>
  <c r="C99" i="12"/>
  <c r="C100" i="12"/>
  <c r="C101" i="12"/>
  <c r="F120" i="13"/>
  <c r="B121" i="13"/>
  <c r="F97" i="12"/>
  <c r="H101" i="12"/>
  <c r="I372" i="4"/>
  <c r="I373" i="4" s="1"/>
  <c r="H483" i="7"/>
  <c r="F102" i="12" l="1"/>
  <c r="G100" i="12"/>
  <c r="G102" i="12" s="1"/>
  <c r="L526" i="7"/>
  <c r="L525" i="7"/>
  <c r="L523" i="7"/>
  <c r="L522" i="7"/>
  <c r="L521" i="7"/>
  <c r="L520" i="7"/>
  <c r="L519" i="7"/>
  <c r="K525" i="7"/>
  <c r="K526" i="7"/>
  <c r="H526" i="7"/>
  <c r="I526" i="7"/>
  <c r="J526" i="7"/>
  <c r="G526" i="7"/>
  <c r="H525" i="7"/>
  <c r="I525" i="7"/>
  <c r="J525" i="7"/>
  <c r="G525" i="7"/>
  <c r="J18" i="8" l="1"/>
  <c r="F135" i="13"/>
  <c r="F134" i="13"/>
  <c r="B49" i="12"/>
  <c r="K158" i="6"/>
  <c r="F75" i="13"/>
  <c r="N15" i="8" l="1"/>
  <c r="L17" i="8"/>
  <c r="M17" i="8"/>
  <c r="N17" i="8"/>
  <c r="N18" i="8"/>
  <c r="K17" i="8"/>
  <c r="P17" i="8" s="1"/>
  <c r="J15" i="8"/>
  <c r="E17" i="8"/>
  <c r="F17" i="8"/>
  <c r="C15" i="8"/>
  <c r="B25" i="9"/>
  <c r="B39" i="10"/>
  <c r="D120" i="13"/>
  <c r="E120" i="13"/>
  <c r="C120" i="13"/>
  <c r="B117" i="13"/>
  <c r="D234" i="14"/>
  <c r="E234" i="14"/>
  <c r="F234" i="14"/>
  <c r="G234" i="14"/>
  <c r="H234" i="14"/>
  <c r="C234" i="14"/>
  <c r="O19" i="8"/>
  <c r="J483" i="7"/>
  <c r="L478" i="7"/>
  <c r="L480" i="7"/>
  <c r="G17" i="8" l="1"/>
  <c r="D101" i="12"/>
  <c r="M19" i="8" l="1"/>
  <c r="K515" i="7"/>
  <c r="L488" i="7"/>
  <c r="L487" i="7"/>
  <c r="L486" i="7"/>
  <c r="K505" i="7"/>
  <c r="M15" i="8"/>
  <c r="L15" i="8" l="1"/>
  <c r="E97" i="12"/>
  <c r="B28" i="10"/>
  <c r="B5" i="9"/>
  <c r="B122" i="13" l="1"/>
  <c r="B107" i="13"/>
  <c r="C121" i="13" l="1"/>
  <c r="B92" i="12" l="1"/>
  <c r="B231" i="14"/>
  <c r="B237" i="14"/>
  <c r="B225" i="14"/>
  <c r="C236" i="14"/>
  <c r="J19" i="8"/>
  <c r="B44" i="10" l="1"/>
  <c r="B44" i="11"/>
  <c r="B126" i="13" l="1"/>
  <c r="B118" i="13"/>
  <c r="C235" i="14"/>
  <c r="B116" i="13" l="1"/>
  <c r="L482" i="7" l="1"/>
  <c r="F202" i="4" l="1"/>
  <c r="J202" i="4"/>
  <c r="L465" i="7"/>
  <c r="L461" i="7"/>
  <c r="L449" i="7"/>
  <c r="L464" i="7"/>
  <c r="L468" i="7"/>
  <c r="L470" i="7"/>
  <c r="L472" i="7"/>
  <c r="K15" i="8" l="1"/>
  <c r="D97" i="12"/>
  <c r="D102" i="12" s="1"/>
  <c r="O15" i="8"/>
  <c r="H97" i="12"/>
  <c r="B38" i="10"/>
  <c r="K19" i="8"/>
  <c r="P15" i="8" l="1"/>
  <c r="E15" i="8"/>
  <c r="J406" i="4"/>
  <c r="I406" i="4"/>
  <c r="B31" i="9"/>
  <c r="B30" i="9"/>
  <c r="F15" i="8"/>
  <c r="I10" i="8"/>
  <c r="B10" i="9"/>
  <c r="B4" i="9"/>
  <c r="B57" i="13"/>
  <c r="B52" i="13"/>
  <c r="B6" i="9"/>
  <c r="B14" i="11"/>
  <c r="B29" i="11"/>
  <c r="B51" i="13"/>
  <c r="B102" i="13"/>
  <c r="B7" i="9"/>
  <c r="G15" i="8" l="1"/>
  <c r="B45" i="10"/>
  <c r="F192" i="6"/>
  <c r="D48" i="11" s="1"/>
  <c r="C109" i="12"/>
  <c r="C107" i="12"/>
  <c r="B94" i="12"/>
  <c r="C149" i="13" l="1"/>
  <c r="D149" i="13"/>
  <c r="E149" i="13"/>
  <c r="F149" i="13"/>
  <c r="C152" i="13"/>
  <c r="F150" i="13"/>
  <c r="D153" i="13"/>
  <c r="D152" i="13"/>
  <c r="F129" i="13"/>
  <c r="E268" i="14"/>
  <c r="E270" i="14"/>
  <c r="E272" i="14"/>
  <c r="D268" i="14"/>
  <c r="D270" i="14"/>
  <c r="D272" i="14"/>
  <c r="F407" i="4"/>
  <c r="D267" i="14" s="1"/>
  <c r="F411" i="4"/>
  <c r="D271" i="14" s="1"/>
  <c r="F409" i="4"/>
  <c r="D269" i="14" s="1"/>
  <c r="G149" i="13" l="1"/>
  <c r="F405" i="4"/>
  <c r="B242" i="14"/>
  <c r="B235" i="14"/>
  <c r="B232" i="14"/>
  <c r="B236" i="14"/>
  <c r="B227" i="14"/>
  <c r="B230" i="14"/>
  <c r="I199" i="6"/>
  <c r="I200" i="6"/>
  <c r="I201" i="6"/>
  <c r="I202" i="6"/>
  <c r="I203" i="6"/>
  <c r="I204" i="6"/>
  <c r="I196" i="6"/>
  <c r="D265" i="14" l="1"/>
  <c r="N19" i="8"/>
  <c r="G202" i="4"/>
  <c r="H202" i="4"/>
  <c r="I202" i="4"/>
  <c r="F314" i="4"/>
  <c r="K440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6" i="7"/>
  <c r="L507" i="7"/>
  <c r="L508" i="7"/>
  <c r="L509" i="7"/>
  <c r="L510" i="7"/>
  <c r="L511" i="7"/>
  <c r="L512" i="7"/>
  <c r="L513" i="7"/>
  <c r="L514" i="7"/>
  <c r="L6" i="7"/>
  <c r="L7" i="7"/>
  <c r="L10" i="7"/>
  <c r="L11" i="7"/>
  <c r="L12" i="7"/>
  <c r="L13" i="7"/>
  <c r="L14" i="7"/>
  <c r="L16" i="7"/>
  <c r="L18" i="7"/>
  <c r="L19" i="7"/>
  <c r="L20" i="7"/>
  <c r="L23" i="7"/>
  <c r="L24" i="7"/>
  <c r="L27" i="7"/>
  <c r="L28" i="7"/>
  <c r="L30" i="7"/>
  <c r="L33" i="7"/>
  <c r="L34" i="7"/>
  <c r="L37" i="7"/>
  <c r="L38" i="7"/>
  <c r="L39" i="7"/>
  <c r="L40" i="7"/>
  <c r="L42" i="7"/>
  <c r="L44" i="7"/>
  <c r="L45" i="7"/>
  <c r="L48" i="7"/>
  <c r="L49" i="7"/>
  <c r="L51" i="7"/>
  <c r="L54" i="7"/>
  <c r="L55" i="7"/>
  <c r="L56" i="7"/>
  <c r="L57" i="7"/>
  <c r="L60" i="7"/>
  <c r="L61" i="7"/>
  <c r="L62" i="7"/>
  <c r="L65" i="7"/>
  <c r="L66" i="7"/>
  <c r="L67" i="7"/>
  <c r="L69" i="7"/>
  <c r="L71" i="7"/>
  <c r="L74" i="7"/>
  <c r="L75" i="7"/>
  <c r="L76" i="7"/>
  <c r="L77" i="7"/>
  <c r="L79" i="7"/>
  <c r="L80" i="7"/>
  <c r="L83" i="7"/>
  <c r="L84" i="7"/>
  <c r="L85" i="7"/>
  <c r="L86" i="7"/>
  <c r="L88" i="7"/>
  <c r="L89" i="7"/>
  <c r="L91" i="7"/>
  <c r="L94" i="7"/>
  <c r="L95" i="7"/>
  <c r="L96" i="7"/>
  <c r="L98" i="7"/>
  <c r="L101" i="7"/>
  <c r="L102" i="7"/>
  <c r="L103" i="7"/>
  <c r="L105" i="7"/>
  <c r="L106" i="7"/>
  <c r="L107" i="7"/>
  <c r="L110" i="7"/>
  <c r="L111" i="7"/>
  <c r="L112" i="7"/>
  <c r="L115" i="7"/>
  <c r="L116" i="7"/>
  <c r="L117" i="7"/>
  <c r="L118" i="7"/>
  <c r="L120" i="7"/>
  <c r="L121" i="7"/>
  <c r="L122" i="7"/>
  <c r="L125" i="7"/>
  <c r="L126" i="7"/>
  <c r="L127" i="7"/>
  <c r="L130" i="7"/>
  <c r="L131" i="7"/>
  <c r="L132" i="7"/>
  <c r="L133" i="7"/>
  <c r="L135" i="7"/>
  <c r="L136" i="7"/>
  <c r="L137" i="7"/>
  <c r="L139" i="7"/>
  <c r="L142" i="7"/>
  <c r="L143" i="7"/>
  <c r="L146" i="7"/>
  <c r="L147" i="7"/>
  <c r="L148" i="7"/>
  <c r="L149" i="7"/>
  <c r="L151" i="7"/>
  <c r="L154" i="7"/>
  <c r="L155" i="7"/>
  <c r="L158" i="7"/>
  <c r="L159" i="7"/>
  <c r="L161" i="7"/>
  <c r="L162" i="7"/>
  <c r="L165" i="7"/>
  <c r="L166" i="7"/>
  <c r="L168" i="7"/>
  <c r="L169" i="7"/>
  <c r="L170" i="7"/>
  <c r="L171" i="7"/>
  <c r="L172" i="7"/>
  <c r="L173" i="7"/>
  <c r="L174" i="7"/>
  <c r="L175" i="7"/>
  <c r="L176" i="7"/>
  <c r="L177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5" i="7"/>
  <c r="L196" i="7"/>
  <c r="L197" i="7"/>
  <c r="L200" i="7"/>
  <c r="L201" i="7"/>
  <c r="L202" i="7"/>
  <c r="L203" i="7"/>
  <c r="L204" i="7"/>
  <c r="L205" i="7"/>
  <c r="L206" i="7"/>
  <c r="L208" i="7"/>
  <c r="L209" i="7"/>
  <c r="L210" i="7"/>
  <c r="L211" i="7"/>
  <c r="L212" i="7"/>
  <c r="L213" i="7"/>
  <c r="L216" i="7"/>
  <c r="L217" i="7"/>
  <c r="L218" i="7"/>
  <c r="L219" i="7"/>
  <c r="L221" i="7"/>
  <c r="L224" i="7"/>
  <c r="L225" i="7"/>
  <c r="L228" i="7"/>
  <c r="L231" i="7"/>
  <c r="L232" i="7"/>
  <c r="L235" i="7"/>
  <c r="L238" i="7"/>
  <c r="L239" i="7"/>
  <c r="L241" i="7"/>
  <c r="L242" i="7"/>
  <c r="L243" i="7"/>
  <c r="L246" i="7"/>
  <c r="L247" i="7"/>
  <c r="L250" i="7"/>
  <c r="L251" i="7"/>
  <c r="L254" i="7"/>
  <c r="L255" i="7"/>
  <c r="L258" i="7"/>
  <c r="L259" i="7"/>
  <c r="L261" i="7"/>
  <c r="L262" i="7"/>
  <c r="L264" i="7"/>
  <c r="L265" i="7"/>
  <c r="L268" i="7"/>
  <c r="L269" i="7"/>
  <c r="L270" i="7"/>
  <c r="L271" i="7"/>
  <c r="L272" i="7"/>
  <c r="L273" i="7"/>
  <c r="L275" i="7"/>
  <c r="L277" i="7"/>
  <c r="L278" i="7"/>
  <c r="L281" i="7"/>
  <c r="L282" i="7"/>
  <c r="L283" i="7"/>
  <c r="L286" i="7"/>
  <c r="L287" i="7"/>
  <c r="L289" i="7"/>
  <c r="L290" i="7"/>
  <c r="L292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8" i="7"/>
  <c r="L309" i="7"/>
  <c r="L310" i="7"/>
  <c r="L311" i="7"/>
  <c r="L312" i="7"/>
  <c r="L313" i="7"/>
  <c r="L314" i="7"/>
  <c r="L315" i="7"/>
  <c r="L316" i="7"/>
  <c r="L317" i="7"/>
  <c r="L320" i="7"/>
  <c r="L321" i="7"/>
  <c r="L322" i="7"/>
  <c r="L323" i="7"/>
  <c r="L324" i="7"/>
  <c r="L326" i="7"/>
  <c r="L327" i="7"/>
  <c r="L328" i="7"/>
  <c r="L329" i="7"/>
  <c r="L330" i="7"/>
  <c r="L331" i="7"/>
  <c r="L332" i="7"/>
  <c r="L335" i="7"/>
  <c r="L336" i="7"/>
  <c r="L337" i="7"/>
  <c r="L338" i="7"/>
  <c r="L339" i="7"/>
  <c r="L340" i="7"/>
  <c r="L341" i="7"/>
  <c r="L342" i="7"/>
  <c r="L344" i="7"/>
  <c r="L345" i="7"/>
  <c r="L346" i="7"/>
  <c r="L347" i="7"/>
  <c r="L348" i="7"/>
  <c r="L349" i="7"/>
  <c r="L350" i="7"/>
  <c r="L351" i="7"/>
  <c r="L354" i="7"/>
  <c r="L355" i="7"/>
  <c r="L356" i="7"/>
  <c r="L359" i="7"/>
  <c r="L360" i="7"/>
  <c r="L361" i="7"/>
  <c r="L364" i="7"/>
  <c r="L365" i="7"/>
  <c r="L368" i="7"/>
  <c r="L369" i="7"/>
  <c r="L372" i="7"/>
  <c r="L373" i="7"/>
  <c r="L374" i="7"/>
  <c r="L377" i="7"/>
  <c r="L378" i="7"/>
  <c r="L379" i="7"/>
  <c r="L380" i="7"/>
  <c r="L382" i="7"/>
  <c r="L385" i="7"/>
  <c r="L388" i="7"/>
  <c r="L389" i="7"/>
  <c r="L390" i="7"/>
  <c r="L392" i="7"/>
  <c r="L393" i="7"/>
  <c r="L396" i="7"/>
  <c r="L397" i="7"/>
  <c r="L398" i="7"/>
  <c r="L399" i="7"/>
  <c r="L400" i="7"/>
  <c r="L401" i="7"/>
  <c r="L402" i="7"/>
  <c r="L403" i="7"/>
  <c r="L405" i="7"/>
  <c r="L406" i="7"/>
  <c r="L407" i="7"/>
  <c r="L410" i="7"/>
  <c r="L411" i="7"/>
  <c r="L412" i="7"/>
  <c r="L413" i="7"/>
  <c r="L414" i="7"/>
  <c r="L415" i="7"/>
  <c r="L418" i="7"/>
  <c r="L419" i="7"/>
  <c r="L420" i="7"/>
  <c r="L421" i="7"/>
  <c r="L422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2" i="7"/>
  <c r="L443" i="7"/>
  <c r="L444" i="7"/>
  <c r="L445" i="7"/>
  <c r="L446" i="7"/>
  <c r="L447" i="7"/>
  <c r="L448" i="7"/>
  <c r="L450" i="7"/>
  <c r="L451" i="7"/>
  <c r="L452" i="7"/>
  <c r="L453" i="7"/>
  <c r="L454" i="7"/>
  <c r="L455" i="7"/>
  <c r="L456" i="7"/>
  <c r="L457" i="7"/>
  <c r="L458" i="7"/>
  <c r="L459" i="7"/>
  <c r="L460" i="7"/>
  <c r="L5" i="7"/>
  <c r="H205" i="6"/>
  <c r="I160" i="6"/>
  <c r="P483" i="7"/>
  <c r="G462" i="7"/>
  <c r="H440" i="7"/>
  <c r="I440" i="7"/>
  <c r="J440" i="7"/>
  <c r="P440" i="7"/>
  <c r="G440" i="7"/>
  <c r="L440" i="7" s="1"/>
  <c r="L19" i="8" l="1"/>
  <c r="E101" i="12"/>
  <c r="E102" i="12" s="1"/>
  <c r="G372" i="4"/>
  <c r="G373" i="4" s="1"/>
  <c r="N20" i="8"/>
  <c r="G236" i="14"/>
  <c r="D232" i="14"/>
  <c r="E232" i="14"/>
  <c r="F236" i="14"/>
  <c r="F232" i="14"/>
  <c r="H232" i="14"/>
  <c r="D236" i="14"/>
  <c r="E236" i="14"/>
  <c r="G232" i="14"/>
  <c r="H236" i="14"/>
  <c r="P19" i="8"/>
  <c r="H206" i="6"/>
  <c r="F50" i="11"/>
  <c r="G235" i="14"/>
  <c r="G237" i="14" l="1"/>
  <c r="G238" i="14" s="1"/>
  <c r="I232" i="14"/>
  <c r="H19" i="6"/>
  <c r="H7" i="6"/>
  <c r="I515" i="7"/>
  <c r="G199" i="6"/>
  <c r="G200" i="6" l="1"/>
  <c r="G201" i="6"/>
  <c r="G202" i="6"/>
  <c r="G203" i="6"/>
  <c r="G204" i="6"/>
  <c r="G198" i="6"/>
  <c r="F198" i="6"/>
  <c r="G197" i="6"/>
  <c r="F197" i="6"/>
  <c r="G404" i="4"/>
  <c r="E264" i="14" s="1"/>
  <c r="H404" i="4"/>
  <c r="F264" i="14" s="1"/>
  <c r="I404" i="4"/>
  <c r="G264" i="14" s="1"/>
  <c r="J404" i="4"/>
  <c r="H264" i="14" s="1"/>
  <c r="G405" i="4"/>
  <c r="E265" i="14" s="1"/>
  <c r="H405" i="4"/>
  <c r="F265" i="14" s="1"/>
  <c r="I405" i="4"/>
  <c r="G265" i="14" s="1"/>
  <c r="J405" i="4"/>
  <c r="H265" i="14" s="1"/>
  <c r="I265" i="14" s="1"/>
  <c r="G406" i="4"/>
  <c r="E266" i="14" s="1"/>
  <c r="H406" i="4"/>
  <c r="F266" i="14" s="1"/>
  <c r="G266" i="14"/>
  <c r="G407" i="4"/>
  <c r="E267" i="14" s="1"/>
  <c r="H407" i="4"/>
  <c r="F267" i="14" s="1"/>
  <c r="I407" i="4"/>
  <c r="G267" i="14" s="1"/>
  <c r="J407" i="4"/>
  <c r="H408" i="4"/>
  <c r="F268" i="14" s="1"/>
  <c r="I408" i="4"/>
  <c r="G268" i="14" s="1"/>
  <c r="J408" i="4"/>
  <c r="G409" i="4"/>
  <c r="E269" i="14" s="1"/>
  <c r="H409" i="4"/>
  <c r="F269" i="14" s="1"/>
  <c r="I409" i="4"/>
  <c r="G269" i="14" s="1"/>
  <c r="J409" i="4"/>
  <c r="H410" i="4"/>
  <c r="F270" i="14" s="1"/>
  <c r="I410" i="4"/>
  <c r="G270" i="14" s="1"/>
  <c r="J410" i="4"/>
  <c r="G411" i="4"/>
  <c r="E271" i="14" s="1"/>
  <c r="H411" i="4"/>
  <c r="F271" i="14" s="1"/>
  <c r="I411" i="4"/>
  <c r="G271" i="14" s="1"/>
  <c r="J411" i="4"/>
  <c r="H412" i="4"/>
  <c r="F272" i="14" s="1"/>
  <c r="I412" i="4"/>
  <c r="G272" i="14" s="1"/>
  <c r="J412" i="4"/>
  <c r="F406" i="4"/>
  <c r="D266" i="14" s="1"/>
  <c r="F404" i="4"/>
  <c r="G515" i="7"/>
  <c r="H515" i="7"/>
  <c r="J515" i="7"/>
  <c r="P515" i="7"/>
  <c r="L515" i="7"/>
  <c r="J385" i="4"/>
  <c r="H249" i="14" s="1"/>
  <c r="J386" i="4"/>
  <c r="H250" i="14" s="1"/>
  <c r="J380" i="4"/>
  <c r="H244" i="14" s="1"/>
  <c r="I380" i="4"/>
  <c r="G244" i="14" s="1"/>
  <c r="J340" i="4"/>
  <c r="H213" i="14" s="1"/>
  <c r="J295" i="4"/>
  <c r="H184" i="14" s="1"/>
  <c r="H340" i="4"/>
  <c r="I340" i="4"/>
  <c r="G213" i="14" s="1"/>
  <c r="G340" i="4"/>
  <c r="F205" i="6" l="1"/>
  <c r="D50" i="11" s="1"/>
  <c r="I197" i="6"/>
  <c r="D150" i="13"/>
  <c r="G273" i="14"/>
  <c r="K412" i="4"/>
  <c r="H272" i="14"/>
  <c r="I272" i="14" s="1"/>
  <c r="K411" i="4"/>
  <c r="H271" i="14"/>
  <c r="I271" i="14" s="1"/>
  <c r="F273" i="14"/>
  <c r="K406" i="4"/>
  <c r="H266" i="14"/>
  <c r="I266" i="14" s="1"/>
  <c r="K410" i="4"/>
  <c r="H270" i="14"/>
  <c r="I270" i="14" s="1"/>
  <c r="K409" i="4"/>
  <c r="H269" i="14"/>
  <c r="I269" i="14" s="1"/>
  <c r="E273" i="14"/>
  <c r="F413" i="4"/>
  <c r="D264" i="14"/>
  <c r="D273" i="14" s="1"/>
  <c r="K408" i="4"/>
  <c r="H268" i="14"/>
  <c r="I268" i="14" s="1"/>
  <c r="K407" i="4"/>
  <c r="H267" i="14"/>
  <c r="I267" i="14" s="1"/>
  <c r="F7" i="6"/>
  <c r="I198" i="6"/>
  <c r="I413" i="4"/>
  <c r="H413" i="4"/>
  <c r="G205" i="6"/>
  <c r="J413" i="4"/>
  <c r="G413" i="4"/>
  <c r="K405" i="4"/>
  <c r="K404" i="4"/>
  <c r="G7" i="6"/>
  <c r="F19" i="6"/>
  <c r="G206" i="6" l="1"/>
  <c r="E50" i="11"/>
  <c r="I205" i="6"/>
  <c r="F206" i="6"/>
  <c r="I206" i="6" s="1"/>
  <c r="G150" i="13"/>
  <c r="H273" i="14"/>
  <c r="E109" i="12"/>
  <c r="E110" i="12" s="1"/>
  <c r="D45" i="10" s="1"/>
  <c r="L25" i="8" s="1"/>
  <c r="G414" i="4"/>
  <c r="F109" i="12"/>
  <c r="F110" i="12" s="1"/>
  <c r="E45" i="10" s="1"/>
  <c r="M25" i="8" s="1"/>
  <c r="H414" i="4"/>
  <c r="F414" i="4"/>
  <c r="D109" i="12"/>
  <c r="D110" i="12" s="1"/>
  <c r="C45" i="10" s="1"/>
  <c r="I264" i="14"/>
  <c r="I414" i="4"/>
  <c r="G109" i="12"/>
  <c r="G110" i="12" s="1"/>
  <c r="F45" i="10" s="1"/>
  <c r="N25" i="8" s="1"/>
  <c r="H109" i="12"/>
  <c r="K413" i="4"/>
  <c r="J414" i="4"/>
  <c r="G505" i="7"/>
  <c r="H466" i="7"/>
  <c r="I466" i="7"/>
  <c r="J466" i="7"/>
  <c r="P466" i="7"/>
  <c r="K466" i="7"/>
  <c r="G466" i="7"/>
  <c r="L466" i="7" l="1"/>
  <c r="H110" i="12"/>
  <c r="G45" i="10" s="1"/>
  <c r="I109" i="12"/>
  <c r="I273" i="14"/>
  <c r="K414" i="4"/>
  <c r="H45" i="10" l="1"/>
  <c r="O25" i="8"/>
  <c r="I110" i="12"/>
  <c r="J332" i="4" l="1"/>
  <c r="J331" i="4"/>
  <c r="K352" i="7"/>
  <c r="B27" i="9" l="1"/>
  <c r="C150" i="13"/>
  <c r="G516" i="7" l="1"/>
  <c r="H505" i="7" l="1"/>
  <c r="H516" i="7" s="1"/>
  <c r="I505" i="7"/>
  <c r="I516" i="7" s="1"/>
  <c r="J505" i="7"/>
  <c r="J516" i="7" s="1"/>
  <c r="P505" i="7"/>
  <c r="K516" i="7" l="1"/>
  <c r="L516" i="7" s="1"/>
  <c r="L505" i="7"/>
  <c r="P516" i="7"/>
  <c r="P526" i="7" s="1"/>
  <c r="B112" i="13" l="1"/>
  <c r="I177" i="6"/>
  <c r="G349" i="4" l="1"/>
  <c r="H349" i="4"/>
  <c r="I349" i="4"/>
  <c r="J349" i="4"/>
  <c r="F349" i="4"/>
  <c r="F341" i="4"/>
  <c r="F344" i="4"/>
  <c r="F347" i="4"/>
  <c r="F348" i="4"/>
  <c r="K333" i="7"/>
  <c r="H333" i="7"/>
  <c r="I333" i="7"/>
  <c r="J333" i="7"/>
  <c r="P333" i="7"/>
  <c r="G333" i="7"/>
  <c r="L333" i="7" l="1"/>
  <c r="C48" i="11"/>
  <c r="C28" i="12" l="1"/>
  <c r="C4" i="12"/>
  <c r="C6" i="14"/>
  <c r="C23" i="12"/>
  <c r="C24" i="12"/>
  <c r="F152" i="13"/>
  <c r="G152" i="13" s="1"/>
  <c r="F153" i="13"/>
  <c r="G153" i="13" s="1"/>
  <c r="D154" i="13"/>
  <c r="F154" i="13"/>
  <c r="D155" i="13"/>
  <c r="F155" i="13"/>
  <c r="D156" i="13"/>
  <c r="F156" i="13"/>
  <c r="D157" i="13"/>
  <c r="F157" i="13"/>
  <c r="C156" i="13"/>
  <c r="C157" i="13"/>
  <c r="C151" i="13"/>
  <c r="C153" i="13"/>
  <c r="C154" i="13"/>
  <c r="C155" i="13"/>
  <c r="C136" i="13"/>
  <c r="C142" i="13"/>
  <c r="I122" i="6"/>
  <c r="I123" i="6"/>
  <c r="I124" i="6"/>
  <c r="I125" i="6"/>
  <c r="I126" i="6"/>
  <c r="I127" i="6"/>
  <c r="I128" i="6"/>
  <c r="I172" i="6"/>
  <c r="I178" i="6"/>
  <c r="H171" i="6"/>
  <c r="G155" i="13" l="1"/>
  <c r="G154" i="13"/>
  <c r="G157" i="13"/>
  <c r="G156" i="13"/>
  <c r="D6" i="13"/>
  <c r="H395" i="4"/>
  <c r="D151" i="13" l="1"/>
  <c r="F151" i="13"/>
  <c r="D158" i="13" l="1"/>
  <c r="G151" i="13"/>
  <c r="F158" i="13"/>
  <c r="G50" i="11" l="1"/>
  <c r="G158" i="13"/>
  <c r="F51" i="11"/>
  <c r="C31" i="9"/>
  <c r="D25" i="8" s="1"/>
  <c r="D51" i="11"/>
  <c r="E31" i="9"/>
  <c r="F25" i="8" s="1"/>
  <c r="G192" i="6"/>
  <c r="G181" i="6"/>
  <c r="J99" i="7"/>
  <c r="J97" i="7"/>
  <c r="J92" i="7"/>
  <c r="J90" i="7"/>
  <c r="J87" i="7"/>
  <c r="J81" i="7"/>
  <c r="J78" i="7"/>
  <c r="J72" i="7"/>
  <c r="J70" i="7"/>
  <c r="J68" i="7"/>
  <c r="J63" i="7"/>
  <c r="J64" i="7" s="1"/>
  <c r="J58" i="7"/>
  <c r="J59" i="7" s="1"/>
  <c r="J52" i="7"/>
  <c r="J50" i="7"/>
  <c r="J46" i="7"/>
  <c r="J43" i="7"/>
  <c r="J41" i="7"/>
  <c r="J35" i="7"/>
  <c r="J36" i="7" s="1"/>
  <c r="J31" i="7"/>
  <c r="J29" i="7"/>
  <c r="J25" i="7"/>
  <c r="J26" i="7" s="1"/>
  <c r="J21" i="7"/>
  <c r="J17" i="7"/>
  <c r="J15" i="7"/>
  <c r="J8" i="7"/>
  <c r="J357" i="4"/>
  <c r="F287" i="4"/>
  <c r="G193" i="6" l="1"/>
  <c r="G207" i="6" s="1"/>
  <c r="M5" i="9"/>
  <c r="K5" i="9"/>
  <c r="N5" i="9"/>
  <c r="G51" i="11"/>
  <c r="F31" i="9"/>
  <c r="J32" i="7"/>
  <c r="J93" i="7"/>
  <c r="J53" i="7"/>
  <c r="J100" i="7"/>
  <c r="J47" i="7"/>
  <c r="J82" i="7"/>
  <c r="J22" i="7"/>
  <c r="J73" i="7"/>
  <c r="J9" i="7"/>
  <c r="H183" i="6"/>
  <c r="H184" i="6"/>
  <c r="I184" i="6" s="1"/>
  <c r="H185" i="6"/>
  <c r="I185" i="6" s="1"/>
  <c r="H186" i="6"/>
  <c r="I186" i="6" s="1"/>
  <c r="H187" i="6"/>
  <c r="I187" i="6" s="1"/>
  <c r="H188" i="6"/>
  <c r="I188" i="6" s="1"/>
  <c r="H189" i="6"/>
  <c r="I189" i="6" s="1"/>
  <c r="H190" i="6"/>
  <c r="I190" i="6" s="1"/>
  <c r="H191" i="6"/>
  <c r="I191" i="6" s="1"/>
  <c r="H173" i="6"/>
  <c r="I173" i="6" s="1"/>
  <c r="H174" i="6"/>
  <c r="I174" i="6" s="1"/>
  <c r="H175" i="6"/>
  <c r="I175" i="6" s="1"/>
  <c r="H176" i="6"/>
  <c r="I176" i="6" s="1"/>
  <c r="H179" i="6"/>
  <c r="I179" i="6" s="1"/>
  <c r="H180" i="6"/>
  <c r="I180" i="6" s="1"/>
  <c r="F12" i="6"/>
  <c r="D4" i="11" s="1"/>
  <c r="K318" i="7" l="1"/>
  <c r="C24" i="27" l="1"/>
  <c r="C28" i="27"/>
  <c r="G19" i="27"/>
  <c r="G18" i="27"/>
  <c r="G17" i="27"/>
  <c r="G16" i="27"/>
  <c r="G15" i="27"/>
  <c r="G14" i="27"/>
  <c r="G13" i="27"/>
  <c r="G29" i="27" s="1"/>
  <c r="F19" i="27"/>
  <c r="F18" i="27"/>
  <c r="F17" i="27"/>
  <c r="F16" i="27"/>
  <c r="F15" i="27"/>
  <c r="F14" i="27"/>
  <c r="F13" i="27"/>
  <c r="F29" i="27" s="1"/>
  <c r="E19" i="27"/>
  <c r="E18" i="27"/>
  <c r="E17" i="27"/>
  <c r="E16" i="27"/>
  <c r="E15" i="27"/>
  <c r="E14" i="27"/>
  <c r="E13" i="27"/>
  <c r="E29" i="27" s="1"/>
  <c r="D19" i="27"/>
  <c r="D18" i="27"/>
  <c r="D17" i="27"/>
  <c r="D16" i="27"/>
  <c r="D15" i="27"/>
  <c r="D14" i="27"/>
  <c r="D13" i="27"/>
  <c r="C15" i="27"/>
  <c r="C14" i="27"/>
  <c r="C13" i="27"/>
  <c r="H10" i="28"/>
  <c r="O7" i="28"/>
  <c r="O8" i="28"/>
  <c r="O6" i="28"/>
  <c r="O9" i="28"/>
  <c r="O5" i="28"/>
  <c r="O10" i="28" s="1"/>
  <c r="I10" i="28"/>
  <c r="J10" i="28"/>
  <c r="K10" i="28"/>
  <c r="L10" i="28"/>
  <c r="M10" i="28"/>
  <c r="N10" i="28"/>
  <c r="C19" i="27"/>
  <c r="C18" i="27"/>
  <c r="C17" i="27"/>
  <c r="C16" i="27"/>
  <c r="H19" i="27" l="1"/>
  <c r="H13" i="27"/>
  <c r="H18" i="27"/>
  <c r="F20" i="27"/>
  <c r="C29" i="27"/>
  <c r="D20" i="27"/>
  <c r="C20" i="27"/>
  <c r="H20" i="27" s="1"/>
  <c r="E20" i="27"/>
  <c r="G20" i="27"/>
  <c r="D29" i="27"/>
  <c r="H14" i="27"/>
  <c r="C6" i="27"/>
  <c r="H16" i="27"/>
  <c r="H15" i="27"/>
  <c r="H17" i="27"/>
  <c r="D24" i="27"/>
  <c r="E24" i="27"/>
  <c r="F24" i="27"/>
  <c r="G24" i="27"/>
  <c r="H9" i="27"/>
  <c r="I9" i="27" s="1"/>
  <c r="I13" i="27"/>
  <c r="D28" i="27"/>
  <c r="E28" i="27"/>
  <c r="F28" i="27"/>
  <c r="G28" i="27"/>
  <c r="D27" i="27"/>
  <c r="D33" i="27" s="1"/>
  <c r="E27" i="27"/>
  <c r="F27" i="27"/>
  <c r="G27" i="27"/>
  <c r="C27" i="27"/>
  <c r="D12" i="27"/>
  <c r="C12" i="27"/>
  <c r="E6" i="27"/>
  <c r="D6" i="27"/>
  <c r="E154" i="13" l="1"/>
  <c r="E156" i="13"/>
  <c r="E33" i="27"/>
  <c r="E152" i="13"/>
  <c r="C30" i="27"/>
  <c r="C21" i="27"/>
  <c r="D30" i="27"/>
  <c r="D21" i="27"/>
  <c r="I14" i="27"/>
  <c r="H24" i="27"/>
  <c r="I24" i="27" s="1"/>
  <c r="D34" i="27"/>
  <c r="D35" i="27" s="1"/>
  <c r="H28" i="27"/>
  <c r="H27" i="27"/>
  <c r="J5" i="27"/>
  <c r="D31" i="27"/>
  <c r="E153" i="13" l="1"/>
  <c r="D36" i="27"/>
  <c r="E155" i="13"/>
  <c r="C31" i="27"/>
  <c r="C36" i="27"/>
  <c r="E12" i="27" l="1"/>
  <c r="E21" i="27" s="1"/>
  <c r="F12" i="27"/>
  <c r="F21" i="27" s="1"/>
  <c r="G12" i="27"/>
  <c r="I20" i="27"/>
  <c r="H10" i="27"/>
  <c r="I10" i="27" s="1"/>
  <c r="H11" i="27"/>
  <c r="I11" i="27" s="1"/>
  <c r="H23" i="27"/>
  <c r="H22" i="27"/>
  <c r="G21" i="27" l="1"/>
  <c r="J3" i="27"/>
  <c r="J6" i="27"/>
  <c r="F30" i="27"/>
  <c r="F34" i="27" s="1"/>
  <c r="H12" i="27"/>
  <c r="E30" i="27"/>
  <c r="I12" i="27" l="1"/>
  <c r="I19" i="27"/>
  <c r="H29" i="27"/>
  <c r="F33" i="27"/>
  <c r="E34" i="27"/>
  <c r="G30" i="27"/>
  <c r="G34" i="27" s="1"/>
  <c r="E150" i="13" s="1"/>
  <c r="G33" i="27"/>
  <c r="F31" i="27"/>
  <c r="I26" i="27"/>
  <c r="E31" i="27"/>
  <c r="F130" i="13"/>
  <c r="B130" i="13"/>
  <c r="C130" i="13"/>
  <c r="D130" i="13"/>
  <c r="E130" i="13"/>
  <c r="C140" i="13"/>
  <c r="D381" i="4"/>
  <c r="B245" i="14" s="1"/>
  <c r="E381" i="4"/>
  <c r="C245" i="14" s="1"/>
  <c r="F381" i="4"/>
  <c r="D245" i="14" s="1"/>
  <c r="G381" i="4"/>
  <c r="E245" i="14" s="1"/>
  <c r="H381" i="4"/>
  <c r="F245" i="14" s="1"/>
  <c r="I381" i="4"/>
  <c r="G245" i="14" s="1"/>
  <c r="J381" i="4"/>
  <c r="E157" i="13" l="1"/>
  <c r="E35" i="27"/>
  <c r="G130" i="13"/>
  <c r="E51" i="11"/>
  <c r="E151" i="13"/>
  <c r="G12" i="6"/>
  <c r="G19" i="6"/>
  <c r="H245" i="14"/>
  <c r="I245" i="14" s="1"/>
  <c r="K381" i="4"/>
  <c r="I29" i="27"/>
  <c r="H30" i="27"/>
  <c r="G31" i="27"/>
  <c r="G35" i="27"/>
  <c r="G36" i="27" s="1"/>
  <c r="F35" i="27"/>
  <c r="F36" i="27" s="1"/>
  <c r="I33" i="27"/>
  <c r="E145" i="13"/>
  <c r="E146" i="13"/>
  <c r="D145" i="13"/>
  <c r="D146" i="13"/>
  <c r="F145" i="13"/>
  <c r="F146" i="13"/>
  <c r="B145" i="13"/>
  <c r="B146" i="13"/>
  <c r="C145" i="13"/>
  <c r="C146" i="13"/>
  <c r="C144" i="13"/>
  <c r="E397" i="4"/>
  <c r="H192" i="6"/>
  <c r="I192" i="6" s="1"/>
  <c r="B95" i="13"/>
  <c r="B96" i="13"/>
  <c r="B97" i="13"/>
  <c r="E97" i="13"/>
  <c r="F97" i="13"/>
  <c r="D97" i="13"/>
  <c r="C97" i="13"/>
  <c r="G129" i="6"/>
  <c r="H129" i="6"/>
  <c r="F129" i="6"/>
  <c r="G146" i="13" l="1"/>
  <c r="E158" i="13"/>
  <c r="G145" i="13"/>
  <c r="G97" i="13"/>
  <c r="I34" i="27"/>
  <c r="I35" i="27"/>
  <c r="E36" i="27"/>
  <c r="D398" i="4"/>
  <c r="F398" i="4"/>
  <c r="D260" i="14" s="1"/>
  <c r="G398" i="4"/>
  <c r="E260" i="14" s="1"/>
  <c r="H398" i="4"/>
  <c r="F260" i="14" s="1"/>
  <c r="I398" i="4"/>
  <c r="G260" i="14" s="1"/>
  <c r="J398" i="4"/>
  <c r="D31" i="9" l="1"/>
  <c r="E25" i="8" s="1"/>
  <c r="K398" i="4"/>
  <c r="H260" i="14"/>
  <c r="I260" i="14" s="1"/>
  <c r="D128" i="13"/>
  <c r="I111" i="6"/>
  <c r="I112" i="6"/>
  <c r="I113" i="6"/>
  <c r="I114" i="6"/>
  <c r="I115" i="6"/>
  <c r="I116" i="6"/>
  <c r="I117" i="6"/>
  <c r="I118" i="6"/>
  <c r="I119" i="6"/>
  <c r="I120" i="6"/>
  <c r="I121" i="6"/>
  <c r="I105" i="6"/>
  <c r="B184" i="14"/>
  <c r="G25" i="8" l="1"/>
  <c r="H297" i="4"/>
  <c r="F186" i="14" s="1"/>
  <c r="G296" i="4" l="1"/>
  <c r="E185" i="14" s="1"/>
  <c r="H296" i="4"/>
  <c r="F185" i="14" s="1"/>
  <c r="I296" i="4"/>
  <c r="G185" i="14" s="1"/>
  <c r="J296" i="4"/>
  <c r="F296" i="4"/>
  <c r="D185" i="14" s="1"/>
  <c r="F297" i="4"/>
  <c r="D186" i="14" s="1"/>
  <c r="G297" i="4"/>
  <c r="E186" i="14" s="1"/>
  <c r="I297" i="4"/>
  <c r="G186" i="14" s="1"/>
  <c r="J297" i="4"/>
  <c r="G295" i="4"/>
  <c r="H295" i="4"/>
  <c r="F184" i="14" s="1"/>
  <c r="I295" i="4"/>
  <c r="G184" i="14" s="1"/>
  <c r="F295" i="4"/>
  <c r="H292" i="4"/>
  <c r="I292" i="4"/>
  <c r="H293" i="4"/>
  <c r="I293" i="4"/>
  <c r="H294" i="4"/>
  <c r="I294" i="4"/>
  <c r="G292" i="4"/>
  <c r="G293" i="4"/>
  <c r="G294" i="4"/>
  <c r="F294" i="4"/>
  <c r="F293" i="4"/>
  <c r="F292" i="4"/>
  <c r="G250" i="4"/>
  <c r="H250" i="4"/>
  <c r="I250" i="4"/>
  <c r="F213" i="4"/>
  <c r="F345" i="4"/>
  <c r="G345" i="4"/>
  <c r="H345" i="4"/>
  <c r="I345" i="4"/>
  <c r="J345" i="4"/>
  <c r="F346" i="4"/>
  <c r="G346" i="4"/>
  <c r="H346" i="4"/>
  <c r="I346" i="4"/>
  <c r="J346" i="4"/>
  <c r="G347" i="4"/>
  <c r="H347" i="4"/>
  <c r="I347" i="4"/>
  <c r="J347" i="4"/>
  <c r="G348" i="4"/>
  <c r="H348" i="4"/>
  <c r="I348" i="4"/>
  <c r="J348" i="4"/>
  <c r="G344" i="4"/>
  <c r="H344" i="4"/>
  <c r="I344" i="4"/>
  <c r="J344" i="4"/>
  <c r="G319" i="4"/>
  <c r="H319" i="4"/>
  <c r="I319" i="4"/>
  <c r="J319" i="4"/>
  <c r="F319" i="4"/>
  <c r="G314" i="4"/>
  <c r="H314" i="4"/>
  <c r="I314" i="4"/>
  <c r="J314" i="4"/>
  <c r="F313" i="4"/>
  <c r="G313" i="4"/>
  <c r="H313" i="4"/>
  <c r="I313" i="4"/>
  <c r="J313" i="4"/>
  <c r="G79" i="4"/>
  <c r="H79" i="4"/>
  <c r="I79" i="4"/>
  <c r="J79" i="4"/>
  <c r="F79" i="4"/>
  <c r="G78" i="4"/>
  <c r="H78" i="4"/>
  <c r="I78" i="4"/>
  <c r="J78" i="4"/>
  <c r="F78" i="4"/>
  <c r="G301" i="4"/>
  <c r="H301" i="4"/>
  <c r="I301" i="4"/>
  <c r="J301" i="4"/>
  <c r="F301" i="4"/>
  <c r="G283" i="4"/>
  <c r="H283" i="4"/>
  <c r="I283" i="4"/>
  <c r="J283" i="4"/>
  <c r="F283" i="4"/>
  <c r="G240" i="4"/>
  <c r="H240" i="4"/>
  <c r="I240" i="4"/>
  <c r="J240" i="4"/>
  <c r="F240" i="4"/>
  <c r="G150" i="4"/>
  <c r="H150" i="4"/>
  <c r="I150" i="4"/>
  <c r="J150" i="4"/>
  <c r="F150" i="4"/>
  <c r="G149" i="4"/>
  <c r="H149" i="4"/>
  <c r="I149" i="4"/>
  <c r="J149" i="4"/>
  <c r="F149" i="4"/>
  <c r="K297" i="4" l="1"/>
  <c r="J350" i="4"/>
  <c r="K296" i="4"/>
  <c r="D184" i="14"/>
  <c r="K295" i="4"/>
  <c r="K349" i="4"/>
  <c r="H186" i="14"/>
  <c r="I186" i="14" s="1"/>
  <c r="K283" i="4"/>
  <c r="H185" i="14"/>
  <c r="I185" i="14" s="1"/>
  <c r="K325" i="7"/>
  <c r="K41" i="7"/>
  <c r="K46" i="7"/>
  <c r="K43" i="7"/>
  <c r="K47" i="7" l="1"/>
  <c r="H318" i="7"/>
  <c r="I318" i="7"/>
  <c r="J318" i="7"/>
  <c r="P318" i="7"/>
  <c r="G318" i="7"/>
  <c r="L318" i="7" s="1"/>
  <c r="H21" i="7"/>
  <c r="I21" i="7"/>
  <c r="P21" i="7"/>
  <c r="K21" i="7"/>
  <c r="G21" i="7"/>
  <c r="G17" i="7"/>
  <c r="K17" i="7"/>
  <c r="P17" i="7"/>
  <c r="I17" i="7"/>
  <c r="H17" i="7"/>
  <c r="H15" i="7"/>
  <c r="I15" i="7"/>
  <c r="P15" i="7"/>
  <c r="K15" i="7"/>
  <c r="G15" i="7"/>
  <c r="L15" i="7" l="1"/>
  <c r="L21" i="7"/>
  <c r="L17" i="7"/>
  <c r="I22" i="7"/>
  <c r="G22" i="7"/>
  <c r="K22" i="7"/>
  <c r="H22" i="7"/>
  <c r="P22" i="7"/>
  <c r="L22" i="7" l="1"/>
  <c r="C52" i="12"/>
  <c r="C51" i="12"/>
  <c r="C95" i="13" l="1"/>
  <c r="D95" i="13"/>
  <c r="E95" i="13"/>
  <c r="F95" i="13"/>
  <c r="C96" i="13"/>
  <c r="D96" i="13"/>
  <c r="E96" i="13"/>
  <c r="F96" i="13"/>
  <c r="G67" i="4"/>
  <c r="H67" i="4"/>
  <c r="I67" i="4"/>
  <c r="G68" i="4"/>
  <c r="H68" i="4"/>
  <c r="I68" i="4"/>
  <c r="G69" i="4"/>
  <c r="H69" i="4"/>
  <c r="I69" i="4"/>
  <c r="G57" i="4"/>
  <c r="H57" i="4"/>
  <c r="I57" i="4"/>
  <c r="G58" i="4"/>
  <c r="H58" i="4"/>
  <c r="I58" i="4"/>
  <c r="G59" i="4"/>
  <c r="H59" i="4"/>
  <c r="I59" i="4"/>
  <c r="G60" i="4"/>
  <c r="H60" i="4"/>
  <c r="I60" i="4"/>
  <c r="G61" i="4"/>
  <c r="E40" i="14" s="1"/>
  <c r="H61" i="4"/>
  <c r="F40" i="14" s="1"/>
  <c r="I61" i="4"/>
  <c r="G40" i="14" s="1"/>
  <c r="G52" i="4"/>
  <c r="H52" i="4"/>
  <c r="I52" i="4"/>
  <c r="G53" i="4"/>
  <c r="H53" i="4"/>
  <c r="I53" i="4"/>
  <c r="G54" i="4"/>
  <c r="H54" i="4"/>
  <c r="I54" i="4"/>
  <c r="G47" i="4"/>
  <c r="H47" i="4"/>
  <c r="I47" i="4"/>
  <c r="F47" i="4"/>
  <c r="G44" i="4"/>
  <c r="H44" i="4"/>
  <c r="I44" i="4"/>
  <c r="G41" i="4"/>
  <c r="H41" i="4"/>
  <c r="I41" i="4"/>
  <c r="G38" i="4"/>
  <c r="H38" i="4"/>
  <c r="I38" i="4"/>
  <c r="G35" i="4"/>
  <c r="H35" i="4"/>
  <c r="I35" i="4"/>
  <c r="G28" i="4"/>
  <c r="E21" i="14" s="1"/>
  <c r="H28" i="4"/>
  <c r="F21" i="14" s="1"/>
  <c r="I28" i="4"/>
  <c r="G21" i="14" s="1"/>
  <c r="G29" i="4"/>
  <c r="E22" i="14" s="1"/>
  <c r="H29" i="4"/>
  <c r="F22" i="14" s="1"/>
  <c r="I29" i="4"/>
  <c r="G22" i="14" s="1"/>
  <c r="G30" i="4"/>
  <c r="E23" i="14" s="1"/>
  <c r="H30" i="4"/>
  <c r="F23" i="14" s="1"/>
  <c r="I30" i="4"/>
  <c r="G23" i="14" s="1"/>
  <c r="G22" i="4"/>
  <c r="E17" i="14" s="1"/>
  <c r="H22" i="4"/>
  <c r="F17" i="14" s="1"/>
  <c r="I22" i="4"/>
  <c r="G17" i="14" s="1"/>
  <c r="G23" i="4"/>
  <c r="E18" i="14" s="1"/>
  <c r="H23" i="4"/>
  <c r="F18" i="14" s="1"/>
  <c r="I23" i="4"/>
  <c r="G18" i="14" s="1"/>
  <c r="G24" i="4"/>
  <c r="E19" i="14" s="1"/>
  <c r="H24" i="4"/>
  <c r="F19" i="14" s="1"/>
  <c r="I24" i="4"/>
  <c r="G19" i="14" s="1"/>
  <c r="G25" i="4"/>
  <c r="E20" i="14" s="1"/>
  <c r="H25" i="4"/>
  <c r="F20" i="14" s="1"/>
  <c r="I25" i="4"/>
  <c r="G20" i="14" s="1"/>
  <c r="G16" i="4"/>
  <c r="E13" i="14" s="1"/>
  <c r="H16" i="4"/>
  <c r="F13" i="14" s="1"/>
  <c r="I16" i="4"/>
  <c r="G13" i="14" s="1"/>
  <c r="G17" i="4"/>
  <c r="E14" i="14" s="1"/>
  <c r="H17" i="4"/>
  <c r="F14" i="14" s="1"/>
  <c r="I17" i="4"/>
  <c r="G14" i="14" s="1"/>
  <c r="G18" i="4"/>
  <c r="E15" i="14" s="1"/>
  <c r="H18" i="4"/>
  <c r="F15" i="14" s="1"/>
  <c r="I18" i="4"/>
  <c r="G15" i="14" s="1"/>
  <c r="G19" i="4"/>
  <c r="E16" i="14" s="1"/>
  <c r="H19" i="4"/>
  <c r="F16" i="14" s="1"/>
  <c r="I19" i="4"/>
  <c r="G16" i="14" s="1"/>
  <c r="G7" i="4"/>
  <c r="H7" i="4"/>
  <c r="F6" i="14" s="1"/>
  <c r="I7" i="4"/>
  <c r="G6" i="14" s="1"/>
  <c r="G8" i="4"/>
  <c r="E7" i="14" s="1"/>
  <c r="H8" i="4"/>
  <c r="F7" i="14" s="1"/>
  <c r="I8" i="4"/>
  <c r="G7" i="14" s="1"/>
  <c r="G9" i="4"/>
  <c r="E8" i="14" s="1"/>
  <c r="H9" i="4"/>
  <c r="F8" i="14" s="1"/>
  <c r="I9" i="4"/>
  <c r="G8" i="14" s="1"/>
  <c r="G10" i="4"/>
  <c r="E9" i="14" s="1"/>
  <c r="H10" i="4"/>
  <c r="F9" i="14" s="1"/>
  <c r="I10" i="4"/>
  <c r="G9" i="14" s="1"/>
  <c r="G11" i="4"/>
  <c r="E10" i="14" s="1"/>
  <c r="H11" i="4"/>
  <c r="F10" i="14" s="1"/>
  <c r="I11" i="4"/>
  <c r="G10" i="14" s="1"/>
  <c r="G12" i="4"/>
  <c r="E11" i="14" s="1"/>
  <c r="H12" i="4"/>
  <c r="F11" i="14" s="1"/>
  <c r="I12" i="4"/>
  <c r="G11" i="14" s="1"/>
  <c r="G13" i="4"/>
  <c r="E12" i="14" s="1"/>
  <c r="H13" i="4"/>
  <c r="F12" i="14" s="1"/>
  <c r="I13" i="4"/>
  <c r="G12" i="14" s="1"/>
  <c r="B220" i="14"/>
  <c r="C220" i="14"/>
  <c r="B178" i="14"/>
  <c r="C178" i="14"/>
  <c r="B142" i="14"/>
  <c r="C142" i="14"/>
  <c r="C132" i="14"/>
  <c r="B132" i="14"/>
  <c r="B99" i="14"/>
  <c r="C99" i="14"/>
  <c r="C54" i="14"/>
  <c r="B54" i="14"/>
  <c r="C47" i="14"/>
  <c r="B47" i="14"/>
  <c r="C40" i="14"/>
  <c r="B40" i="14"/>
  <c r="B39" i="14"/>
  <c r="C39" i="14"/>
  <c r="G146" i="4"/>
  <c r="H146" i="4"/>
  <c r="I146" i="4"/>
  <c r="J146" i="4"/>
  <c r="F146" i="4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87" i="4"/>
  <c r="H187" i="4"/>
  <c r="G173" i="4"/>
  <c r="H173" i="4"/>
  <c r="G174" i="4"/>
  <c r="H174" i="4"/>
  <c r="G175" i="4"/>
  <c r="H175" i="4"/>
  <c r="G176" i="4"/>
  <c r="H176" i="4"/>
  <c r="G164" i="4"/>
  <c r="H164" i="4"/>
  <c r="G165" i="4"/>
  <c r="H165" i="4"/>
  <c r="G166" i="4"/>
  <c r="H166" i="4"/>
  <c r="G167" i="4"/>
  <c r="H167" i="4"/>
  <c r="G168" i="4"/>
  <c r="H168" i="4"/>
  <c r="G169" i="4"/>
  <c r="H169" i="4"/>
  <c r="G170" i="4"/>
  <c r="E99" i="14" s="1"/>
  <c r="H170" i="4"/>
  <c r="F99" i="14" s="1"/>
  <c r="G158" i="4"/>
  <c r="H158" i="4"/>
  <c r="G159" i="4"/>
  <c r="E90" i="14" s="1"/>
  <c r="H159" i="4"/>
  <c r="F90" i="14" s="1"/>
  <c r="G153" i="4"/>
  <c r="H153" i="4"/>
  <c r="G154" i="4"/>
  <c r="H154" i="4"/>
  <c r="G155" i="4"/>
  <c r="H155" i="4"/>
  <c r="G144" i="4"/>
  <c r="H144" i="4"/>
  <c r="G145" i="4"/>
  <c r="H145" i="4"/>
  <c r="G139" i="4"/>
  <c r="H139" i="4"/>
  <c r="G140" i="4"/>
  <c r="H140" i="4"/>
  <c r="G141" i="4"/>
  <c r="H141" i="4"/>
  <c r="G134" i="4"/>
  <c r="H134" i="4"/>
  <c r="G135" i="4"/>
  <c r="H135" i="4"/>
  <c r="G136" i="4"/>
  <c r="H136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87" i="4"/>
  <c r="H87" i="4"/>
  <c r="G88" i="4"/>
  <c r="E54" i="14" s="1"/>
  <c r="H88" i="4"/>
  <c r="F54" i="14" s="1"/>
  <c r="G89" i="4"/>
  <c r="H89" i="4"/>
  <c r="G90" i="4"/>
  <c r="H90" i="4"/>
  <c r="G91" i="4"/>
  <c r="H91" i="4"/>
  <c r="G72" i="4"/>
  <c r="H72" i="4"/>
  <c r="I72" i="4"/>
  <c r="G73" i="4"/>
  <c r="H73" i="4"/>
  <c r="I73" i="4"/>
  <c r="G74" i="4"/>
  <c r="E47" i="14" s="1"/>
  <c r="H74" i="4"/>
  <c r="F47" i="14" s="1"/>
  <c r="I74" i="4"/>
  <c r="G47" i="14" s="1"/>
  <c r="I462" i="7"/>
  <c r="I14" i="4" l="1"/>
  <c r="G96" i="13"/>
  <c r="G95" i="13"/>
  <c r="K146" i="4"/>
  <c r="G14" i="4"/>
  <c r="H92" i="4"/>
  <c r="E6" i="14"/>
  <c r="H14" i="4"/>
  <c r="I423" i="7"/>
  <c r="I416" i="7"/>
  <c r="I404" i="7"/>
  <c r="I391" i="7"/>
  <c r="I386" i="7"/>
  <c r="I381" i="7"/>
  <c r="I375" i="7"/>
  <c r="I370" i="7"/>
  <c r="I366" i="7"/>
  <c r="I362" i="7"/>
  <c r="I357" i="7"/>
  <c r="I343" i="7"/>
  <c r="I325" i="7"/>
  <c r="I307" i="7"/>
  <c r="I288" i="7"/>
  <c r="I284" i="7"/>
  <c r="I274" i="7"/>
  <c r="I233" i="7"/>
  <c r="I226" i="7"/>
  <c r="I220" i="7"/>
  <c r="I207" i="7"/>
  <c r="I194" i="7"/>
  <c r="I167" i="7"/>
  <c r="I160" i="7"/>
  <c r="I156" i="7"/>
  <c r="I150" i="7"/>
  <c r="I144" i="7"/>
  <c r="I134" i="7"/>
  <c r="I128" i="7"/>
  <c r="I119" i="7"/>
  <c r="I113" i="7"/>
  <c r="I104" i="7"/>
  <c r="I97" i="7"/>
  <c r="I87" i="7"/>
  <c r="I78" i="7"/>
  <c r="I68" i="7"/>
  <c r="I63" i="7"/>
  <c r="I58" i="7"/>
  <c r="I50" i="7"/>
  <c r="I41" i="7"/>
  <c r="I35" i="7"/>
  <c r="I29" i="7"/>
  <c r="I25" i="7"/>
  <c r="I8" i="7"/>
  <c r="H46" i="7"/>
  <c r="I46" i="7"/>
  <c r="P46" i="7"/>
  <c r="G46" i="7"/>
  <c r="L46" i="7" s="1"/>
  <c r="J7" i="4"/>
  <c r="J8" i="4"/>
  <c r="J9" i="4"/>
  <c r="J10" i="4"/>
  <c r="J11" i="4"/>
  <c r="J12" i="4"/>
  <c r="J13" i="4"/>
  <c r="G357" i="4"/>
  <c r="H357" i="4"/>
  <c r="I357" i="4"/>
  <c r="G352" i="4"/>
  <c r="H352" i="4"/>
  <c r="I352" i="4"/>
  <c r="E220" i="14"/>
  <c r="F220" i="14"/>
  <c r="G220" i="14"/>
  <c r="G341" i="4"/>
  <c r="H341" i="4"/>
  <c r="I341" i="4"/>
  <c r="G335" i="4"/>
  <c r="H335" i="4"/>
  <c r="I335" i="4"/>
  <c r="G331" i="4"/>
  <c r="H331" i="4"/>
  <c r="I331" i="4"/>
  <c r="G332" i="4"/>
  <c r="H332" i="4"/>
  <c r="I332" i="4"/>
  <c r="G325" i="4"/>
  <c r="H325" i="4"/>
  <c r="I325" i="4"/>
  <c r="G326" i="4"/>
  <c r="H326" i="4"/>
  <c r="I326" i="4"/>
  <c r="G317" i="4"/>
  <c r="H317" i="4"/>
  <c r="I317" i="4"/>
  <c r="G318" i="4"/>
  <c r="H318" i="4"/>
  <c r="I318" i="4"/>
  <c r="G320" i="4"/>
  <c r="H320" i="4"/>
  <c r="I320" i="4"/>
  <c r="G321" i="4"/>
  <c r="H321" i="4"/>
  <c r="I321" i="4"/>
  <c r="G322" i="4"/>
  <c r="H322" i="4"/>
  <c r="I322" i="4"/>
  <c r="G307" i="4"/>
  <c r="E192" i="14" s="1"/>
  <c r="H307" i="4"/>
  <c r="F192" i="14" s="1"/>
  <c r="I307" i="4"/>
  <c r="G192" i="14" s="1"/>
  <c r="G308" i="4"/>
  <c r="E193" i="14" s="1"/>
  <c r="H308" i="4"/>
  <c r="F193" i="14" s="1"/>
  <c r="I308" i="4"/>
  <c r="G193" i="14" s="1"/>
  <c r="G300" i="4"/>
  <c r="E187" i="14" s="1"/>
  <c r="H300" i="4"/>
  <c r="F187" i="14" s="1"/>
  <c r="I300" i="4"/>
  <c r="G187" i="14" s="1"/>
  <c r="E188" i="14"/>
  <c r="F188" i="14"/>
  <c r="G188" i="14"/>
  <c r="G302" i="4"/>
  <c r="E189" i="14" s="1"/>
  <c r="H302" i="4"/>
  <c r="F189" i="14" s="1"/>
  <c r="I302" i="4"/>
  <c r="G189" i="14" s="1"/>
  <c r="G303" i="4"/>
  <c r="E190" i="14" s="1"/>
  <c r="H303" i="4"/>
  <c r="F190" i="14" s="1"/>
  <c r="I303" i="4"/>
  <c r="G190" i="14" s="1"/>
  <c r="G304" i="4"/>
  <c r="E191" i="14" s="1"/>
  <c r="H304" i="4"/>
  <c r="F191" i="14" s="1"/>
  <c r="I304" i="4"/>
  <c r="G191" i="14" s="1"/>
  <c r="E181" i="14"/>
  <c r="F181" i="14"/>
  <c r="G181" i="14"/>
  <c r="E182" i="14"/>
  <c r="F182" i="14"/>
  <c r="G182" i="14"/>
  <c r="E183" i="14"/>
  <c r="F183" i="14"/>
  <c r="G183" i="14"/>
  <c r="E184" i="14"/>
  <c r="G286" i="4"/>
  <c r="E177" i="14" s="1"/>
  <c r="H286" i="4"/>
  <c r="F177" i="14" s="1"/>
  <c r="I286" i="4"/>
  <c r="G177" i="14" s="1"/>
  <c r="G287" i="4"/>
  <c r="E178" i="14" s="1"/>
  <c r="H287" i="4"/>
  <c r="F178" i="14" s="1"/>
  <c r="I287" i="4"/>
  <c r="G178" i="14" s="1"/>
  <c r="F176" i="14"/>
  <c r="E176" i="14"/>
  <c r="G176" i="14"/>
  <c r="I280" i="4"/>
  <c r="I281" i="4"/>
  <c r="G174" i="14" s="1"/>
  <c r="I282" i="4"/>
  <c r="G175" i="14" s="1"/>
  <c r="H280" i="4"/>
  <c r="H281" i="4"/>
  <c r="F174" i="14" s="1"/>
  <c r="H282" i="4"/>
  <c r="F175" i="14" s="1"/>
  <c r="G280" i="4"/>
  <c r="G281" i="4"/>
  <c r="E174" i="14" s="1"/>
  <c r="G282" i="4"/>
  <c r="E175" i="14" s="1"/>
  <c r="G273" i="4"/>
  <c r="G274" i="4" s="1"/>
  <c r="H273" i="4"/>
  <c r="H274" i="4" s="1"/>
  <c r="I273" i="4"/>
  <c r="I274" i="4" s="1"/>
  <c r="G270" i="4"/>
  <c r="G271" i="4" s="1"/>
  <c r="H270" i="4"/>
  <c r="H271" i="4" s="1"/>
  <c r="I270" i="4"/>
  <c r="I271" i="4" s="1"/>
  <c r="G262" i="4"/>
  <c r="H262" i="4"/>
  <c r="I262" i="4"/>
  <c r="G263" i="4"/>
  <c r="H263" i="4"/>
  <c r="I263" i="4"/>
  <c r="G257" i="4"/>
  <c r="H257" i="4"/>
  <c r="I257" i="4"/>
  <c r="G254" i="4"/>
  <c r="H254" i="4"/>
  <c r="I254" i="4"/>
  <c r="G251" i="4"/>
  <c r="H251" i="4"/>
  <c r="I251" i="4"/>
  <c r="G245" i="4"/>
  <c r="H245" i="4"/>
  <c r="I245" i="4"/>
  <c r="G236" i="4"/>
  <c r="H236" i="4"/>
  <c r="I236" i="4"/>
  <c r="G237" i="4"/>
  <c r="H237" i="4"/>
  <c r="I237" i="4"/>
  <c r="G238" i="4"/>
  <c r="H238" i="4"/>
  <c r="I238" i="4"/>
  <c r="G239" i="4"/>
  <c r="H239" i="4"/>
  <c r="I239" i="4"/>
  <c r="G228" i="4"/>
  <c r="H228" i="4"/>
  <c r="I228" i="4"/>
  <c r="G229" i="4"/>
  <c r="H229" i="4"/>
  <c r="I229" i="4"/>
  <c r="G230" i="4"/>
  <c r="H230" i="4"/>
  <c r="I230" i="4"/>
  <c r="G231" i="4"/>
  <c r="E142" i="14" s="1"/>
  <c r="H231" i="4"/>
  <c r="F142" i="14" s="1"/>
  <c r="I231" i="4"/>
  <c r="G142" i="14" s="1"/>
  <c r="G222" i="4"/>
  <c r="H222" i="4"/>
  <c r="I222" i="4"/>
  <c r="G223" i="4"/>
  <c r="H223" i="4"/>
  <c r="I223" i="4"/>
  <c r="G217" i="4"/>
  <c r="G218" i="4" s="1"/>
  <c r="H217" i="4"/>
  <c r="I217" i="4"/>
  <c r="I218" i="4" s="1"/>
  <c r="G209" i="4"/>
  <c r="H209" i="4"/>
  <c r="I209" i="4"/>
  <c r="G210" i="4"/>
  <c r="H210" i="4"/>
  <c r="I210" i="4"/>
  <c r="G211" i="4"/>
  <c r="H211" i="4"/>
  <c r="I211" i="4"/>
  <c r="G212" i="4"/>
  <c r="H212" i="4"/>
  <c r="I212" i="4"/>
  <c r="G213" i="4"/>
  <c r="H213" i="4"/>
  <c r="I213" i="4"/>
  <c r="G214" i="4"/>
  <c r="H214" i="4"/>
  <c r="I214" i="4"/>
  <c r="G203" i="4"/>
  <c r="G204" i="4" s="1"/>
  <c r="H203" i="4"/>
  <c r="H204" i="4" s="1"/>
  <c r="G197" i="4"/>
  <c r="H197" i="4"/>
  <c r="I197" i="4"/>
  <c r="G192" i="4"/>
  <c r="H192" i="4"/>
  <c r="H193" i="4" s="1"/>
  <c r="I192" i="4"/>
  <c r="I179" i="4"/>
  <c r="I180" i="4"/>
  <c r="I181" i="4"/>
  <c r="I182" i="4"/>
  <c r="I183" i="4"/>
  <c r="I184" i="4"/>
  <c r="I185" i="4"/>
  <c r="I186" i="4"/>
  <c r="I187" i="4"/>
  <c r="I173" i="4"/>
  <c r="I174" i="4"/>
  <c r="I175" i="4"/>
  <c r="I176" i="4"/>
  <c r="I164" i="4"/>
  <c r="I165" i="4"/>
  <c r="I166" i="4"/>
  <c r="I167" i="4"/>
  <c r="I168" i="4"/>
  <c r="I169" i="4"/>
  <c r="I170" i="4"/>
  <c r="G99" i="14" s="1"/>
  <c r="G160" i="4"/>
  <c r="I158" i="4"/>
  <c r="I159" i="4"/>
  <c r="G90" i="14" s="1"/>
  <c r="I153" i="4"/>
  <c r="I154" i="4"/>
  <c r="I155" i="4"/>
  <c r="I144" i="4"/>
  <c r="I145" i="4"/>
  <c r="I139" i="4"/>
  <c r="I140" i="4"/>
  <c r="I141" i="4"/>
  <c r="I134" i="4"/>
  <c r="I135" i="4"/>
  <c r="H137" i="4"/>
  <c r="I136" i="4"/>
  <c r="I125" i="4"/>
  <c r="I126" i="4"/>
  <c r="I127" i="4"/>
  <c r="I128" i="4"/>
  <c r="I129" i="4"/>
  <c r="I130" i="4"/>
  <c r="I131" i="4"/>
  <c r="G120" i="4"/>
  <c r="H120" i="4"/>
  <c r="I120" i="4"/>
  <c r="G117" i="4"/>
  <c r="H117" i="4"/>
  <c r="I117" i="4"/>
  <c r="G114" i="4"/>
  <c r="H114" i="4"/>
  <c r="I114" i="4"/>
  <c r="G103" i="4"/>
  <c r="H103" i="4"/>
  <c r="I103" i="4"/>
  <c r="G104" i="4"/>
  <c r="H104" i="4"/>
  <c r="I104" i="4"/>
  <c r="G100" i="4"/>
  <c r="H100" i="4"/>
  <c r="I100" i="4"/>
  <c r="G97" i="4"/>
  <c r="H97" i="4"/>
  <c r="I97" i="4"/>
  <c r="G94" i="4"/>
  <c r="H94" i="4"/>
  <c r="I94" i="4"/>
  <c r="I87" i="4"/>
  <c r="I88" i="4"/>
  <c r="G54" i="14" s="1"/>
  <c r="I89" i="4"/>
  <c r="I90" i="4"/>
  <c r="I91" i="4"/>
  <c r="G82" i="4"/>
  <c r="H82" i="4"/>
  <c r="I82" i="4"/>
  <c r="G64" i="4"/>
  <c r="H64" i="4"/>
  <c r="H65" i="4" s="1"/>
  <c r="I64" i="4"/>
  <c r="H36" i="4"/>
  <c r="H160" i="4"/>
  <c r="H188" i="4"/>
  <c r="H177" i="4"/>
  <c r="H171" i="4"/>
  <c r="H156" i="4"/>
  <c r="H151" i="4"/>
  <c r="H147" i="4"/>
  <c r="H142" i="4"/>
  <c r="H132" i="4"/>
  <c r="H75" i="4"/>
  <c r="H62" i="4"/>
  <c r="H55" i="4"/>
  <c r="H48" i="4"/>
  <c r="H31" i="4"/>
  <c r="H26" i="4"/>
  <c r="H350" i="4"/>
  <c r="G171" i="4"/>
  <c r="G75" i="4"/>
  <c r="I75" i="4"/>
  <c r="G62" i="4"/>
  <c r="I62" i="4"/>
  <c r="J170" i="4"/>
  <c r="F170" i="4"/>
  <c r="D99" i="14" s="1"/>
  <c r="J88" i="4"/>
  <c r="F88" i="4"/>
  <c r="D54" i="14" s="1"/>
  <c r="J61" i="4"/>
  <c r="F61" i="4"/>
  <c r="D40" i="14" s="1"/>
  <c r="H220" i="14"/>
  <c r="D220" i="14"/>
  <c r="J74" i="4"/>
  <c r="F74" i="4"/>
  <c r="D47" i="14" s="1"/>
  <c r="F67" i="4"/>
  <c r="J67" i="4"/>
  <c r="J287" i="4"/>
  <c r="K287" i="4" s="1"/>
  <c r="D178" i="14"/>
  <c r="J217" i="4"/>
  <c r="F217" i="4"/>
  <c r="J257" i="4"/>
  <c r="F257" i="4"/>
  <c r="F231" i="4"/>
  <c r="D142" i="14" s="1"/>
  <c r="J231" i="4"/>
  <c r="F230" i="4"/>
  <c r="J140" i="4"/>
  <c r="F140" i="4"/>
  <c r="J16" i="4"/>
  <c r="F16" i="4"/>
  <c r="F357" i="4"/>
  <c r="E391" i="4"/>
  <c r="C4" i="11"/>
  <c r="G275" i="4" l="1"/>
  <c r="I275" i="4"/>
  <c r="H275" i="4"/>
  <c r="K231" i="4"/>
  <c r="K88" i="4"/>
  <c r="G173" i="14"/>
  <c r="I284" i="4"/>
  <c r="F173" i="14"/>
  <c r="H284" i="4"/>
  <c r="K74" i="4"/>
  <c r="K61" i="4"/>
  <c r="K170" i="4"/>
  <c r="E173" i="14"/>
  <c r="E179" i="14" s="1"/>
  <c r="G284" i="4"/>
  <c r="I220" i="14"/>
  <c r="H99" i="14"/>
  <c r="I99" i="14" s="1"/>
  <c r="J218" i="4"/>
  <c r="K217" i="4"/>
  <c r="H54" i="14"/>
  <c r="I54" i="14" s="1"/>
  <c r="H178" i="14"/>
  <c r="I178" i="14" s="1"/>
  <c r="H142" i="14"/>
  <c r="I142" i="14" s="1"/>
  <c r="I350" i="4"/>
  <c r="I171" i="4"/>
  <c r="H327" i="4"/>
  <c r="H80" i="4"/>
  <c r="I160" i="4"/>
  <c r="I288" i="4"/>
  <c r="H288" i="4"/>
  <c r="H305" i="4"/>
  <c r="I232" i="4"/>
  <c r="G288" i="4"/>
  <c r="H215" i="4"/>
  <c r="H232" i="4"/>
  <c r="H241" i="4"/>
  <c r="H52" i="12"/>
  <c r="H132" i="14"/>
  <c r="F52" i="12"/>
  <c r="F132" i="14"/>
  <c r="E52" i="12"/>
  <c r="E132" i="14"/>
  <c r="G232" i="4"/>
  <c r="F218" i="4"/>
  <c r="D52" i="12"/>
  <c r="D132" i="14"/>
  <c r="H47" i="14"/>
  <c r="I47" i="14" s="1"/>
  <c r="H40" i="14"/>
  <c r="I40" i="14" s="1"/>
  <c r="H218" i="4"/>
  <c r="H189" i="4"/>
  <c r="E194" i="14"/>
  <c r="G350" i="4"/>
  <c r="J14" i="4"/>
  <c r="G52" i="12"/>
  <c r="G132" i="14"/>
  <c r="B5" i="10"/>
  <c r="B111" i="13"/>
  <c r="C111" i="13"/>
  <c r="C35" i="11" s="1"/>
  <c r="B19" i="9" s="1"/>
  <c r="F399" i="4"/>
  <c r="D261" i="14" s="1"/>
  <c r="D392" i="4"/>
  <c r="E392" i="4"/>
  <c r="D393" i="4"/>
  <c r="E393" i="4"/>
  <c r="D394" i="4"/>
  <c r="E394" i="4"/>
  <c r="D395" i="4"/>
  <c r="E395" i="4"/>
  <c r="D396" i="4"/>
  <c r="E396" i="4"/>
  <c r="D397" i="4"/>
  <c r="D399" i="4"/>
  <c r="E399" i="4"/>
  <c r="D391" i="4"/>
  <c r="D383" i="4"/>
  <c r="D384" i="4"/>
  <c r="D385" i="4"/>
  <c r="D386" i="4"/>
  <c r="D387" i="4"/>
  <c r="D388" i="4"/>
  <c r="D380" i="4"/>
  <c r="D382" i="4"/>
  <c r="D379" i="4"/>
  <c r="E380" i="4"/>
  <c r="C244" i="14" s="1"/>
  <c r="E382" i="4"/>
  <c r="E383" i="4"/>
  <c r="E384" i="4"/>
  <c r="E385" i="4"/>
  <c r="E386" i="4"/>
  <c r="E387" i="4"/>
  <c r="E388" i="4"/>
  <c r="E379" i="4"/>
  <c r="F379" i="4"/>
  <c r="G399" i="4"/>
  <c r="E261" i="14" s="1"/>
  <c r="H399" i="4"/>
  <c r="F261" i="14" s="1"/>
  <c r="I399" i="4"/>
  <c r="G261" i="14" s="1"/>
  <c r="J399" i="4"/>
  <c r="F397" i="4"/>
  <c r="D259" i="14" s="1"/>
  <c r="F396" i="4"/>
  <c r="D258" i="14" s="1"/>
  <c r="C44" i="12"/>
  <c r="C46" i="12"/>
  <c r="F197" i="4"/>
  <c r="F13" i="4"/>
  <c r="K13" i="4" s="1"/>
  <c r="H289" i="4" l="1"/>
  <c r="K399" i="4"/>
  <c r="I132" i="14"/>
  <c r="H261" i="14"/>
  <c r="I261" i="14" s="1"/>
  <c r="I52" i="12"/>
  <c r="K218" i="4"/>
  <c r="I289" i="4"/>
  <c r="G289" i="4"/>
  <c r="H462" i="7" l="1"/>
  <c r="J462" i="7"/>
  <c r="P462" i="7"/>
  <c r="K462" i="7"/>
  <c r="L462" i="7" s="1"/>
  <c r="H357" i="7"/>
  <c r="J357" i="7"/>
  <c r="P357" i="7"/>
  <c r="K357" i="7"/>
  <c r="G357" i="7"/>
  <c r="H226" i="7"/>
  <c r="J226" i="7"/>
  <c r="P226" i="7"/>
  <c r="K226" i="7"/>
  <c r="G226" i="7"/>
  <c r="H138" i="7"/>
  <c r="I138" i="7"/>
  <c r="J138" i="7"/>
  <c r="P138" i="7"/>
  <c r="K138" i="7"/>
  <c r="G138" i="7"/>
  <c r="K52" i="7"/>
  <c r="P52" i="7"/>
  <c r="I52" i="7"/>
  <c r="I53" i="7" s="1"/>
  <c r="H52" i="7"/>
  <c r="G52" i="7"/>
  <c r="H50" i="7"/>
  <c r="P50" i="7"/>
  <c r="K50" i="7"/>
  <c r="G50" i="7"/>
  <c r="H181" i="6"/>
  <c r="H193" i="6" s="1"/>
  <c r="H207" i="6" s="1"/>
  <c r="F181" i="6"/>
  <c r="I7" i="6"/>
  <c r="I8" i="6"/>
  <c r="I9" i="6"/>
  <c r="I10" i="6"/>
  <c r="I11" i="6"/>
  <c r="L50" i="7" l="1"/>
  <c r="L357" i="7"/>
  <c r="L138" i="7"/>
  <c r="L52" i="7"/>
  <c r="L226" i="7"/>
  <c r="F193" i="6"/>
  <c r="F207" i="6" s="1"/>
  <c r="D47" i="11"/>
  <c r="D49" i="11" s="1"/>
  <c r="D52" i="11" s="1"/>
  <c r="P53" i="7"/>
  <c r="H53" i="7"/>
  <c r="K53" i="7"/>
  <c r="G53" i="7"/>
  <c r="I229" i="7"/>
  <c r="I236" i="7"/>
  <c r="I240" i="7"/>
  <c r="I248" i="7"/>
  <c r="I252" i="7"/>
  <c r="I256" i="7"/>
  <c r="I260" i="7"/>
  <c r="I469" i="7"/>
  <c r="G63" i="6"/>
  <c r="E11" i="11" s="1"/>
  <c r="G135" i="6"/>
  <c r="G132" i="6"/>
  <c r="L53" i="7" l="1"/>
  <c r="I519" i="7"/>
  <c r="D49" i="13"/>
  <c r="E49" i="13"/>
  <c r="F49" i="13"/>
  <c r="E48" i="13"/>
  <c r="F48" i="13"/>
  <c r="D48" i="13"/>
  <c r="D44" i="13"/>
  <c r="E44" i="13"/>
  <c r="F44" i="13"/>
  <c r="D45" i="13"/>
  <c r="E45" i="13"/>
  <c r="F45" i="13"/>
  <c r="D46" i="13"/>
  <c r="E46" i="13"/>
  <c r="F46" i="13"/>
  <c r="D47" i="13"/>
  <c r="E47" i="13"/>
  <c r="F47" i="13"/>
  <c r="E43" i="13"/>
  <c r="F43" i="13"/>
  <c r="D43" i="13"/>
  <c r="D38" i="13"/>
  <c r="E38" i="13"/>
  <c r="F38" i="13"/>
  <c r="D39" i="13"/>
  <c r="E39" i="13"/>
  <c r="F39" i="13"/>
  <c r="D40" i="13"/>
  <c r="E40" i="13"/>
  <c r="F40" i="13"/>
  <c r="D41" i="13"/>
  <c r="E41" i="13"/>
  <c r="F41" i="13"/>
  <c r="D42" i="13"/>
  <c r="E42" i="13"/>
  <c r="F42" i="13"/>
  <c r="E37" i="13"/>
  <c r="F37" i="13"/>
  <c r="D37" i="13"/>
  <c r="D32" i="13"/>
  <c r="E32" i="13"/>
  <c r="F32" i="13"/>
  <c r="D33" i="13"/>
  <c r="E33" i="13"/>
  <c r="F33" i="13"/>
  <c r="D34" i="13"/>
  <c r="E34" i="13"/>
  <c r="F34" i="13"/>
  <c r="D35" i="13"/>
  <c r="E35" i="13"/>
  <c r="F35" i="13"/>
  <c r="D36" i="13"/>
  <c r="E36" i="13"/>
  <c r="F36" i="13"/>
  <c r="E31" i="13"/>
  <c r="F31" i="13"/>
  <c r="D31" i="13"/>
  <c r="D26" i="13"/>
  <c r="E26" i="13"/>
  <c r="F26" i="13"/>
  <c r="D27" i="13"/>
  <c r="E27" i="13"/>
  <c r="F27" i="13"/>
  <c r="D28" i="13"/>
  <c r="E28" i="13"/>
  <c r="F28" i="13"/>
  <c r="D29" i="13"/>
  <c r="E29" i="13"/>
  <c r="F29" i="13"/>
  <c r="D30" i="13"/>
  <c r="E30" i="13"/>
  <c r="F30" i="13"/>
  <c r="E25" i="13"/>
  <c r="F25" i="13"/>
  <c r="D25" i="13"/>
  <c r="D20" i="13"/>
  <c r="E20" i="13"/>
  <c r="F20" i="13"/>
  <c r="D21" i="13"/>
  <c r="E21" i="13"/>
  <c r="F21" i="13"/>
  <c r="D22" i="13"/>
  <c r="E22" i="13"/>
  <c r="F22" i="13"/>
  <c r="D23" i="13"/>
  <c r="E23" i="13"/>
  <c r="F23" i="13"/>
  <c r="D24" i="13"/>
  <c r="E24" i="13"/>
  <c r="F24" i="13"/>
  <c r="E19" i="13"/>
  <c r="F19" i="13"/>
  <c r="D19" i="13"/>
  <c r="D15" i="13"/>
  <c r="E15" i="13"/>
  <c r="F15" i="13"/>
  <c r="D16" i="13"/>
  <c r="E16" i="13"/>
  <c r="F16" i="13"/>
  <c r="D17" i="13"/>
  <c r="E17" i="13"/>
  <c r="F17" i="13"/>
  <c r="D18" i="13"/>
  <c r="E18" i="13"/>
  <c r="F18" i="13"/>
  <c r="E14" i="13"/>
  <c r="F14" i="13"/>
  <c r="D14" i="13"/>
  <c r="D12" i="13"/>
  <c r="E12" i="13"/>
  <c r="F12" i="13"/>
  <c r="D13" i="13"/>
  <c r="E13" i="13"/>
  <c r="F13" i="13"/>
  <c r="E11" i="13"/>
  <c r="F11" i="13"/>
  <c r="D11" i="13"/>
  <c r="E10" i="13"/>
  <c r="F10" i="13"/>
  <c r="D7" i="13"/>
  <c r="E7" i="13"/>
  <c r="F7" i="13"/>
  <c r="D8" i="13"/>
  <c r="E8" i="13"/>
  <c r="F8" i="13"/>
  <c r="D9" i="13"/>
  <c r="E9" i="13"/>
  <c r="F9" i="13"/>
  <c r="D10" i="13"/>
  <c r="E6" i="13"/>
  <c r="F6" i="13"/>
  <c r="I263" i="7"/>
  <c r="I521" i="7" s="1"/>
  <c r="D50" i="13" l="1"/>
  <c r="D51" i="13" s="1"/>
  <c r="E50" i="13"/>
  <c r="E51" i="13" s="1"/>
  <c r="F50" i="13"/>
  <c r="F51" i="13" s="1"/>
  <c r="G51" i="13" l="1"/>
  <c r="J229" i="4"/>
  <c r="H140" i="14" s="1"/>
  <c r="J153" i="4"/>
  <c r="F159" i="4"/>
  <c r="D90" i="14" s="1"/>
  <c r="J159" i="4"/>
  <c r="D176" i="14"/>
  <c r="J282" i="4"/>
  <c r="G41" i="7"/>
  <c r="L41" i="7" s="1"/>
  <c r="H41" i="7"/>
  <c r="P41" i="7"/>
  <c r="K408" i="7"/>
  <c r="K244" i="7"/>
  <c r="K178" i="7"/>
  <c r="K163" i="7"/>
  <c r="K108" i="7"/>
  <c r="J245" i="4"/>
  <c r="K159" i="4" l="1"/>
  <c r="H176" i="14"/>
  <c r="I176" i="14" l="1"/>
  <c r="C176" i="14"/>
  <c r="B176" i="14"/>
  <c r="D144" i="13"/>
  <c r="E144" i="13"/>
  <c r="F144" i="13"/>
  <c r="B144" i="13"/>
  <c r="D143" i="13"/>
  <c r="E143" i="13"/>
  <c r="F143" i="13"/>
  <c r="D142" i="13"/>
  <c r="E142" i="13"/>
  <c r="F142" i="13"/>
  <c r="D141" i="13"/>
  <c r="E141" i="13"/>
  <c r="F141" i="13"/>
  <c r="D140" i="13"/>
  <c r="E140" i="13"/>
  <c r="F140" i="13"/>
  <c r="D139" i="13"/>
  <c r="E139" i="13"/>
  <c r="F139" i="13"/>
  <c r="D138" i="13"/>
  <c r="E138" i="13"/>
  <c r="F138" i="13"/>
  <c r="D137" i="13"/>
  <c r="E137" i="13"/>
  <c r="F137" i="13"/>
  <c r="D136" i="13"/>
  <c r="E136" i="13"/>
  <c r="F136" i="13"/>
  <c r="D135" i="13"/>
  <c r="G135" i="13" s="1"/>
  <c r="E135" i="13"/>
  <c r="D134" i="13"/>
  <c r="G134" i="13" s="1"/>
  <c r="E134" i="13"/>
  <c r="D133" i="13"/>
  <c r="E133" i="13"/>
  <c r="F133" i="13"/>
  <c r="D132" i="13"/>
  <c r="E132" i="13"/>
  <c r="F132" i="13"/>
  <c r="D131" i="13"/>
  <c r="E131" i="13"/>
  <c r="F131" i="13"/>
  <c r="D129" i="13"/>
  <c r="E129" i="13"/>
  <c r="E128" i="13"/>
  <c r="F128" i="13"/>
  <c r="D118" i="13"/>
  <c r="E118" i="13"/>
  <c r="F118" i="13"/>
  <c r="D106" i="13"/>
  <c r="E106" i="13"/>
  <c r="F106" i="13"/>
  <c r="D105" i="13"/>
  <c r="E105" i="13"/>
  <c r="F105" i="13"/>
  <c r="D54" i="13"/>
  <c r="E54" i="13"/>
  <c r="F54" i="13"/>
  <c r="D100" i="13"/>
  <c r="E100" i="13"/>
  <c r="F100" i="13"/>
  <c r="D99" i="13"/>
  <c r="E99" i="13"/>
  <c r="F99" i="13"/>
  <c r="D98" i="13"/>
  <c r="E98" i="13"/>
  <c r="F98" i="13"/>
  <c r="D59" i="13"/>
  <c r="E59" i="13"/>
  <c r="F59" i="13"/>
  <c r="D60" i="13"/>
  <c r="E60" i="13"/>
  <c r="F60" i="13"/>
  <c r="D61" i="13"/>
  <c r="E61" i="13"/>
  <c r="F61" i="13"/>
  <c r="D62" i="13"/>
  <c r="E62" i="13"/>
  <c r="F62" i="13"/>
  <c r="D63" i="13"/>
  <c r="E63" i="13"/>
  <c r="F63" i="13"/>
  <c r="D64" i="13"/>
  <c r="E64" i="13"/>
  <c r="F64" i="13"/>
  <c r="D65" i="13"/>
  <c r="E65" i="13"/>
  <c r="F65" i="13"/>
  <c r="D66" i="13"/>
  <c r="E66" i="13"/>
  <c r="F66" i="13"/>
  <c r="D67" i="13"/>
  <c r="E67" i="13"/>
  <c r="F67" i="13"/>
  <c r="D68" i="13"/>
  <c r="E68" i="13"/>
  <c r="F68" i="13"/>
  <c r="D69" i="13"/>
  <c r="E69" i="13"/>
  <c r="F69" i="13"/>
  <c r="D70" i="13"/>
  <c r="E70" i="13"/>
  <c r="F70" i="13"/>
  <c r="D71" i="13"/>
  <c r="E71" i="13"/>
  <c r="F71" i="13"/>
  <c r="D72" i="13"/>
  <c r="E72" i="13"/>
  <c r="F72" i="13"/>
  <c r="D73" i="13"/>
  <c r="E73" i="13"/>
  <c r="F73" i="13"/>
  <c r="D74" i="13"/>
  <c r="E74" i="13"/>
  <c r="F74" i="13"/>
  <c r="D76" i="13"/>
  <c r="E76" i="13"/>
  <c r="F76" i="13"/>
  <c r="D75" i="13"/>
  <c r="E75" i="13"/>
  <c r="D79" i="13"/>
  <c r="E79" i="13"/>
  <c r="F79" i="13"/>
  <c r="D80" i="13"/>
  <c r="E80" i="13"/>
  <c r="F80" i="13"/>
  <c r="D81" i="13"/>
  <c r="E81" i="13"/>
  <c r="F81" i="13"/>
  <c r="D82" i="13"/>
  <c r="E82" i="13"/>
  <c r="F82" i="13"/>
  <c r="D83" i="13"/>
  <c r="E83" i="13"/>
  <c r="F83" i="13"/>
  <c r="D84" i="13"/>
  <c r="E84" i="13"/>
  <c r="F84" i="13"/>
  <c r="D85" i="13"/>
  <c r="E85" i="13"/>
  <c r="F85" i="13"/>
  <c r="D86" i="13"/>
  <c r="E86" i="13"/>
  <c r="F86" i="13"/>
  <c r="D87" i="13"/>
  <c r="E87" i="13"/>
  <c r="F87" i="13"/>
  <c r="D88" i="13"/>
  <c r="E88" i="13"/>
  <c r="F88" i="13"/>
  <c r="D89" i="13"/>
  <c r="E89" i="13"/>
  <c r="F89" i="13"/>
  <c r="D90" i="13"/>
  <c r="E90" i="13"/>
  <c r="F90" i="13"/>
  <c r="D91" i="13"/>
  <c r="E91" i="13"/>
  <c r="F91" i="13"/>
  <c r="D92" i="13"/>
  <c r="E92" i="13"/>
  <c r="F92" i="13"/>
  <c r="D93" i="13"/>
  <c r="E93" i="13"/>
  <c r="F93" i="13"/>
  <c r="D94" i="13"/>
  <c r="E94" i="13"/>
  <c r="F94" i="13"/>
  <c r="C94" i="13"/>
  <c r="B94" i="13"/>
  <c r="H12" i="14"/>
  <c r="D12" i="14"/>
  <c r="C12" i="14"/>
  <c r="B12" i="14"/>
  <c r="H90" i="14"/>
  <c r="I90" i="14" s="1"/>
  <c r="C90" i="14"/>
  <c r="B90" i="14"/>
  <c r="K423" i="7"/>
  <c r="K404" i="7"/>
  <c r="K416" i="7"/>
  <c r="B95" i="14"/>
  <c r="C95" i="14"/>
  <c r="J254" i="4"/>
  <c r="F254" i="4"/>
  <c r="F255" i="4" s="1"/>
  <c r="J250" i="4"/>
  <c r="F250" i="4"/>
  <c r="F251" i="4"/>
  <c r="H149" i="14"/>
  <c r="G137" i="13" l="1"/>
  <c r="G131" i="13"/>
  <c r="G141" i="13"/>
  <c r="G136" i="13"/>
  <c r="G140" i="13"/>
  <c r="K424" i="7"/>
  <c r="G129" i="13"/>
  <c r="D147" i="13"/>
  <c r="D159" i="13" s="1"/>
  <c r="G133" i="13"/>
  <c r="G139" i="13"/>
  <c r="G143" i="13"/>
  <c r="G144" i="13"/>
  <c r="G132" i="13"/>
  <c r="G138" i="13"/>
  <c r="G142" i="13"/>
  <c r="G98" i="13"/>
  <c r="E147" i="13"/>
  <c r="E159" i="13" s="1"/>
  <c r="G128" i="13"/>
  <c r="F147" i="13"/>
  <c r="F159" i="13" s="1"/>
  <c r="I12" i="14"/>
  <c r="F252" i="4"/>
  <c r="F151" i="4"/>
  <c r="D101" i="13"/>
  <c r="F101" i="13"/>
  <c r="E101" i="13"/>
  <c r="G94" i="13"/>
  <c r="H99" i="6"/>
  <c r="G397" i="4"/>
  <c r="E259" i="14" s="1"/>
  <c r="H397" i="4"/>
  <c r="I397" i="4"/>
  <c r="J397" i="4"/>
  <c r="K397" i="4" s="1"/>
  <c r="G147" i="13" l="1"/>
  <c r="G159" i="13"/>
  <c r="H259" i="14"/>
  <c r="I259" i="14" s="1"/>
  <c r="B9" i="9" l="1"/>
  <c r="B5" i="13"/>
  <c r="B4" i="13"/>
  <c r="I178" i="7" l="1"/>
  <c r="G393" i="4" l="1"/>
  <c r="C184" i="14" l="1"/>
  <c r="C185" i="14"/>
  <c r="C186" i="14"/>
  <c r="B183" i="14"/>
  <c r="B185" i="14"/>
  <c r="B186" i="14"/>
  <c r="D183" i="14" l="1"/>
  <c r="D13" i="14"/>
  <c r="G233" i="7"/>
  <c r="H233" i="7"/>
  <c r="J233" i="7"/>
  <c r="P233" i="7"/>
  <c r="K233" i="7"/>
  <c r="G92" i="7"/>
  <c r="K92" i="7"/>
  <c r="P92" i="7"/>
  <c r="I92" i="7"/>
  <c r="H92" i="7"/>
  <c r="G140" i="7"/>
  <c r="K140" i="7"/>
  <c r="P140" i="7"/>
  <c r="J140" i="7"/>
  <c r="I140" i="7"/>
  <c r="H140" i="7"/>
  <c r="G72" i="7"/>
  <c r="K72" i="7"/>
  <c r="P72" i="7"/>
  <c r="I72" i="7"/>
  <c r="H72" i="7"/>
  <c r="H416" i="7"/>
  <c r="L233" i="7" l="1"/>
  <c r="L92" i="7"/>
  <c r="L72" i="7"/>
  <c r="L140" i="7"/>
  <c r="I184" i="14"/>
  <c r="K394" i="7" l="1"/>
  <c r="J391" i="4"/>
  <c r="J392" i="4"/>
  <c r="J393" i="4"/>
  <c r="J394" i="4"/>
  <c r="J379" i="4"/>
  <c r="D84" i="14"/>
  <c r="P43" i="7"/>
  <c r="I43" i="7"/>
  <c r="I47" i="7" s="1"/>
  <c r="H43" i="7"/>
  <c r="H47" i="7" s="1"/>
  <c r="G43" i="7"/>
  <c r="J322" i="4"/>
  <c r="F322" i="4"/>
  <c r="J293" i="4"/>
  <c r="K293" i="4" s="1"/>
  <c r="J294" i="4"/>
  <c r="J212" i="4"/>
  <c r="J213" i="4"/>
  <c r="K213" i="4" s="1"/>
  <c r="J211" i="4"/>
  <c r="F212" i="4"/>
  <c r="F211" i="4"/>
  <c r="J17" i="4"/>
  <c r="H14" i="14" s="1"/>
  <c r="G352" i="7"/>
  <c r="L352" i="7" s="1"/>
  <c r="G325" i="7"/>
  <c r="L325" i="7" s="1"/>
  <c r="G236" i="7"/>
  <c r="G47" i="7" l="1"/>
  <c r="L47" i="7" s="1"/>
  <c r="L43" i="7"/>
  <c r="K294" i="4"/>
  <c r="H183" i="14"/>
  <c r="P47" i="7"/>
  <c r="F99" i="6"/>
  <c r="G99" i="6"/>
  <c r="K266" i="7"/>
  <c r="K263" i="7"/>
  <c r="G29" i="7"/>
  <c r="H29" i="7"/>
  <c r="C158" i="14"/>
  <c r="C135" i="14"/>
  <c r="B160" i="14"/>
  <c r="C66" i="12"/>
  <c r="K521" i="7" l="1"/>
  <c r="K8" i="7"/>
  <c r="C143" i="13"/>
  <c r="B143" i="13"/>
  <c r="C258" i="14"/>
  <c r="B258" i="14"/>
  <c r="G396" i="4"/>
  <c r="E258" i="14" s="1"/>
  <c r="H396" i="4"/>
  <c r="F258" i="14" s="1"/>
  <c r="I396" i="4"/>
  <c r="G258" i="14" s="1"/>
  <c r="J396" i="4"/>
  <c r="F395" i="4"/>
  <c r="F198" i="4"/>
  <c r="D46" i="12" s="1"/>
  <c r="D47" i="12" s="1"/>
  <c r="F192" i="4"/>
  <c r="F193" i="4" s="1"/>
  <c r="D44" i="12" s="1"/>
  <c r="D45" i="12" s="1"/>
  <c r="C11" i="10" s="1"/>
  <c r="H258" i="14" l="1"/>
  <c r="I258" i="14" s="1"/>
  <c r="K396" i="4"/>
  <c r="C12" i="10"/>
  <c r="C22" i="11"/>
  <c r="C21" i="11"/>
  <c r="C85" i="12"/>
  <c r="C210" i="14"/>
  <c r="C5" i="12"/>
  <c r="C128" i="13"/>
  <c r="C129" i="13"/>
  <c r="C131" i="13"/>
  <c r="C132" i="13"/>
  <c r="C133" i="13"/>
  <c r="C134" i="13"/>
  <c r="C135" i="13"/>
  <c r="C137" i="13"/>
  <c r="C138" i="13"/>
  <c r="C139" i="13"/>
  <c r="C141" i="13"/>
  <c r="B142" i="13"/>
  <c r="B133" i="13"/>
  <c r="B134" i="13"/>
  <c r="B135" i="13"/>
  <c r="B136" i="13"/>
  <c r="B137" i="13"/>
  <c r="C75" i="13"/>
  <c r="C76" i="13"/>
  <c r="B76" i="13"/>
  <c r="B75" i="13"/>
  <c r="C248" i="14"/>
  <c r="C249" i="14"/>
  <c r="C250" i="14"/>
  <c r="C251" i="14"/>
  <c r="C252" i="14"/>
  <c r="B248" i="14"/>
  <c r="B249" i="14"/>
  <c r="B250" i="14"/>
  <c r="B251" i="14"/>
  <c r="B252" i="14"/>
  <c r="C257" i="14"/>
  <c r="B257" i="14"/>
  <c r="B210" i="14"/>
  <c r="E196" i="14"/>
  <c r="F196" i="14"/>
  <c r="H196" i="14"/>
  <c r="E197" i="14"/>
  <c r="G197" i="14"/>
  <c r="E198" i="14"/>
  <c r="F198" i="14"/>
  <c r="G198" i="14"/>
  <c r="J317" i="4"/>
  <c r="H198" i="14" s="1"/>
  <c r="E199" i="14"/>
  <c r="F199" i="14"/>
  <c r="G199" i="14"/>
  <c r="J318" i="4"/>
  <c r="H199" i="14" s="1"/>
  <c r="E200" i="14"/>
  <c r="F200" i="14"/>
  <c r="G200" i="14"/>
  <c r="H200" i="14"/>
  <c r="E201" i="14"/>
  <c r="F201" i="14"/>
  <c r="G201" i="14"/>
  <c r="J320" i="4"/>
  <c r="H201" i="14" s="1"/>
  <c r="E202" i="14"/>
  <c r="F202" i="14"/>
  <c r="G202" i="14"/>
  <c r="J321" i="4"/>
  <c r="H202" i="14" s="1"/>
  <c r="E203" i="14"/>
  <c r="F203" i="14"/>
  <c r="G203" i="14"/>
  <c r="H203" i="14"/>
  <c r="C183" i="14"/>
  <c r="C191" i="14"/>
  <c r="B191" i="14"/>
  <c r="J280" i="4"/>
  <c r="J281" i="4"/>
  <c r="H174" i="14" s="1"/>
  <c r="J286" i="4"/>
  <c r="J288" i="4" s="1"/>
  <c r="J273" i="4"/>
  <c r="J274" i="4" s="1"/>
  <c r="J270" i="4"/>
  <c r="J271" i="4" s="1"/>
  <c r="C156" i="14"/>
  <c r="B156" i="14"/>
  <c r="C17" i="14"/>
  <c r="I145" i="6"/>
  <c r="I144" i="6"/>
  <c r="I73" i="6"/>
  <c r="I137" i="6"/>
  <c r="I134" i="6"/>
  <c r="I131" i="6"/>
  <c r="I110" i="6"/>
  <c r="I104" i="6"/>
  <c r="I101" i="6"/>
  <c r="I91" i="6"/>
  <c r="I92" i="6"/>
  <c r="I93" i="6"/>
  <c r="I94" i="6"/>
  <c r="I95" i="6"/>
  <c r="I96" i="6"/>
  <c r="I97" i="6"/>
  <c r="I98" i="6"/>
  <c r="I90" i="6"/>
  <c r="I84" i="6"/>
  <c r="I85" i="6"/>
  <c r="I86" i="6"/>
  <c r="I87" i="6"/>
  <c r="I83" i="6"/>
  <c r="I80" i="6"/>
  <c r="I66" i="6"/>
  <c r="I65" i="6"/>
  <c r="I59" i="6"/>
  <c r="I60" i="6"/>
  <c r="I61" i="6"/>
  <c r="I62" i="6"/>
  <c r="I58" i="6"/>
  <c r="I51" i="6"/>
  <c r="I52" i="6"/>
  <c r="I53" i="6"/>
  <c r="I54" i="6"/>
  <c r="I55" i="6"/>
  <c r="I50" i="6"/>
  <c r="I43" i="6"/>
  <c r="I44" i="6"/>
  <c r="I45" i="6"/>
  <c r="I46" i="6"/>
  <c r="I47" i="6"/>
  <c r="I42" i="6"/>
  <c r="I35" i="6"/>
  <c r="I36" i="6"/>
  <c r="I37" i="6"/>
  <c r="I38" i="6"/>
  <c r="I39" i="6"/>
  <c r="I34" i="6"/>
  <c r="I27" i="6"/>
  <c r="I28" i="6"/>
  <c r="I29" i="6"/>
  <c r="I30" i="6"/>
  <c r="I31" i="6"/>
  <c r="I26" i="6"/>
  <c r="I20" i="6"/>
  <c r="I21" i="6"/>
  <c r="I22" i="6"/>
  <c r="I23" i="6"/>
  <c r="I19" i="6"/>
  <c r="I15" i="6"/>
  <c r="I16" i="6"/>
  <c r="I14" i="6"/>
  <c r="G391" i="4"/>
  <c r="H391" i="4"/>
  <c r="I391" i="4"/>
  <c r="G392" i="4"/>
  <c r="E254" i="14" s="1"/>
  <c r="H392" i="4"/>
  <c r="F254" i="14" s="1"/>
  <c r="I392" i="4"/>
  <c r="G254" i="14" s="1"/>
  <c r="H254" i="14"/>
  <c r="E255" i="14"/>
  <c r="H393" i="4"/>
  <c r="F255" i="14" s="1"/>
  <c r="I393" i="4"/>
  <c r="G255" i="14" s="1"/>
  <c r="H255" i="14"/>
  <c r="G394" i="4"/>
  <c r="E256" i="14" s="1"/>
  <c r="H394" i="4"/>
  <c r="F256" i="14" s="1"/>
  <c r="I394" i="4"/>
  <c r="G256" i="14" s="1"/>
  <c r="G395" i="4"/>
  <c r="E257" i="14" s="1"/>
  <c r="F257" i="14"/>
  <c r="I395" i="4"/>
  <c r="G257" i="14" s="1"/>
  <c r="J395" i="4"/>
  <c r="J400" i="4" s="1"/>
  <c r="G379" i="4"/>
  <c r="H379" i="4"/>
  <c r="I379" i="4"/>
  <c r="G243" i="14" s="1"/>
  <c r="G380" i="4"/>
  <c r="E244" i="14" s="1"/>
  <c r="H380" i="4"/>
  <c r="F244" i="14" s="1"/>
  <c r="G382" i="4"/>
  <c r="E246" i="14" s="1"/>
  <c r="H382" i="4"/>
  <c r="F246" i="14" s="1"/>
  <c r="I382" i="4"/>
  <c r="G246" i="14" s="1"/>
  <c r="J382" i="4"/>
  <c r="G383" i="4"/>
  <c r="E247" i="14" s="1"/>
  <c r="H383" i="4"/>
  <c r="F247" i="14" s="1"/>
  <c r="I383" i="4"/>
  <c r="G247" i="14" s="1"/>
  <c r="J383" i="4"/>
  <c r="G384" i="4"/>
  <c r="E248" i="14" s="1"/>
  <c r="H384" i="4"/>
  <c r="F248" i="14" s="1"/>
  <c r="I384" i="4"/>
  <c r="G248" i="14" s="1"/>
  <c r="J384" i="4"/>
  <c r="G385" i="4"/>
  <c r="E249" i="14" s="1"/>
  <c r="H385" i="4"/>
  <c r="F249" i="14" s="1"/>
  <c r="I385" i="4"/>
  <c r="G249" i="14" s="1"/>
  <c r="G386" i="4"/>
  <c r="E250" i="14" s="1"/>
  <c r="H386" i="4"/>
  <c r="F250" i="14" s="1"/>
  <c r="I386" i="4"/>
  <c r="G250" i="14" s="1"/>
  <c r="G387" i="4"/>
  <c r="E251" i="14" s="1"/>
  <c r="H387" i="4"/>
  <c r="F251" i="14" s="1"/>
  <c r="I387" i="4"/>
  <c r="G251" i="14" s="1"/>
  <c r="J387" i="4"/>
  <c r="H251" i="14" s="1"/>
  <c r="G388" i="4"/>
  <c r="E252" i="14" s="1"/>
  <c r="H388" i="4"/>
  <c r="F252" i="14" s="1"/>
  <c r="I388" i="4"/>
  <c r="G252" i="14" s="1"/>
  <c r="J388" i="4"/>
  <c r="F384" i="4"/>
  <c r="D248" i="14" s="1"/>
  <c r="F385" i="4"/>
  <c r="D249" i="14" s="1"/>
  <c r="I249" i="14" s="1"/>
  <c r="F386" i="4"/>
  <c r="D250" i="14" s="1"/>
  <c r="I250" i="14" s="1"/>
  <c r="F387" i="4"/>
  <c r="D251" i="14" s="1"/>
  <c r="F388" i="4"/>
  <c r="D252" i="14" s="1"/>
  <c r="D257" i="14"/>
  <c r="G358" i="4"/>
  <c r="J358" i="4"/>
  <c r="E213" i="14"/>
  <c r="F213" i="14"/>
  <c r="E214" i="14"/>
  <c r="F214" i="14"/>
  <c r="G214" i="14"/>
  <c r="J341" i="4"/>
  <c r="H214" i="14" s="1"/>
  <c r="J352" i="4"/>
  <c r="H221" i="14" s="1"/>
  <c r="E221" i="14"/>
  <c r="F221" i="14"/>
  <c r="G221" i="14"/>
  <c r="E215" i="14"/>
  <c r="F215" i="14"/>
  <c r="G215" i="14"/>
  <c r="E216" i="14"/>
  <c r="F216" i="14"/>
  <c r="G216" i="14"/>
  <c r="H216" i="14"/>
  <c r="E217" i="14"/>
  <c r="F217" i="14"/>
  <c r="G217" i="14"/>
  <c r="H217" i="14"/>
  <c r="E218" i="14"/>
  <c r="F218" i="14"/>
  <c r="G218" i="14"/>
  <c r="H218" i="14"/>
  <c r="E219" i="14"/>
  <c r="F219" i="14"/>
  <c r="G219" i="14"/>
  <c r="H219" i="14"/>
  <c r="F340" i="4"/>
  <c r="E79" i="14"/>
  <c r="F79" i="14"/>
  <c r="G79" i="14"/>
  <c r="H79" i="14"/>
  <c r="E53" i="14"/>
  <c r="F53" i="14"/>
  <c r="G53" i="14"/>
  <c r="J87" i="4"/>
  <c r="H53" i="14" s="1"/>
  <c r="F87" i="4"/>
  <c r="D53" i="14" s="1"/>
  <c r="H266" i="7"/>
  <c r="I266" i="7"/>
  <c r="J266" i="7"/>
  <c r="P266" i="7"/>
  <c r="G266" i="7"/>
  <c r="L266" i="7" s="1"/>
  <c r="G194" i="7"/>
  <c r="H194" i="7"/>
  <c r="J194" i="7"/>
  <c r="G119" i="7"/>
  <c r="F210" i="14"/>
  <c r="G210" i="14"/>
  <c r="J335" i="4"/>
  <c r="F335" i="4"/>
  <c r="E208" i="14"/>
  <c r="G208" i="14"/>
  <c r="H208" i="14"/>
  <c r="E209" i="14"/>
  <c r="F209" i="14"/>
  <c r="G209" i="14"/>
  <c r="H209" i="14"/>
  <c r="E204" i="14"/>
  <c r="F204" i="14"/>
  <c r="G204" i="14"/>
  <c r="J325" i="4"/>
  <c r="H204" i="14" s="1"/>
  <c r="E205" i="14"/>
  <c r="F205" i="14"/>
  <c r="G205" i="14"/>
  <c r="J326" i="4"/>
  <c r="H205" i="14" s="1"/>
  <c r="J307" i="4"/>
  <c r="H192" i="14" s="1"/>
  <c r="J308" i="4"/>
  <c r="H193" i="14" s="1"/>
  <c r="J304" i="4"/>
  <c r="F304" i="4"/>
  <c r="D191" i="14" s="1"/>
  <c r="J300" i="4"/>
  <c r="H187" i="14" s="1"/>
  <c r="H188" i="14"/>
  <c r="J302" i="4"/>
  <c r="H189" i="14" s="1"/>
  <c r="J303" i="4"/>
  <c r="H190" i="14" s="1"/>
  <c r="J292" i="4"/>
  <c r="H182" i="14"/>
  <c r="E161" i="14"/>
  <c r="F161" i="14"/>
  <c r="G161" i="14"/>
  <c r="J262" i="4"/>
  <c r="E162" i="14"/>
  <c r="F162" i="14"/>
  <c r="G162" i="14"/>
  <c r="J263" i="4"/>
  <c r="H162" i="14" s="1"/>
  <c r="G158" i="14"/>
  <c r="F258" i="4"/>
  <c r="F259" i="4" s="1"/>
  <c r="F157" i="14"/>
  <c r="J255" i="4"/>
  <c r="H63" i="12" s="1"/>
  <c r="J251" i="4"/>
  <c r="E155" i="14"/>
  <c r="F155" i="14"/>
  <c r="G155" i="14"/>
  <c r="F156" i="14"/>
  <c r="G156" i="14"/>
  <c r="D156" i="14"/>
  <c r="G246" i="4"/>
  <c r="I246" i="4"/>
  <c r="J246" i="4"/>
  <c r="F145" i="14"/>
  <c r="G145" i="14"/>
  <c r="J236" i="4"/>
  <c r="E146" i="14"/>
  <c r="F146" i="14"/>
  <c r="G146" i="14"/>
  <c r="J237" i="4"/>
  <c r="H146" i="14" s="1"/>
  <c r="E147" i="14"/>
  <c r="F147" i="14"/>
  <c r="G147" i="14"/>
  <c r="J238" i="4"/>
  <c r="H147" i="14" s="1"/>
  <c r="E148" i="14"/>
  <c r="F148" i="14"/>
  <c r="G148" i="14"/>
  <c r="J239" i="4"/>
  <c r="H148" i="14" s="1"/>
  <c r="E149" i="14"/>
  <c r="F149" i="14"/>
  <c r="G149" i="14"/>
  <c r="F139" i="14"/>
  <c r="G139" i="14"/>
  <c r="J228" i="4"/>
  <c r="E140" i="14"/>
  <c r="F140" i="14"/>
  <c r="G140" i="14"/>
  <c r="E141" i="14"/>
  <c r="F141" i="14"/>
  <c r="G141" i="14"/>
  <c r="J230" i="4"/>
  <c r="H141" i="14" s="1"/>
  <c r="F135" i="14"/>
  <c r="G135" i="14"/>
  <c r="J222" i="4"/>
  <c r="E136" i="14"/>
  <c r="F136" i="14"/>
  <c r="G136" i="14"/>
  <c r="J223" i="4"/>
  <c r="H136" i="14" s="1"/>
  <c r="F126" i="14"/>
  <c r="G126" i="14"/>
  <c r="J209" i="4"/>
  <c r="E127" i="14"/>
  <c r="F127" i="14"/>
  <c r="G127" i="14"/>
  <c r="J210" i="4"/>
  <c r="H127" i="14" s="1"/>
  <c r="E128" i="14"/>
  <c r="F128" i="14"/>
  <c r="G128" i="14"/>
  <c r="H128" i="14"/>
  <c r="E129" i="14"/>
  <c r="F129" i="14"/>
  <c r="G129" i="14"/>
  <c r="H129" i="14"/>
  <c r="E130" i="14"/>
  <c r="F130" i="14"/>
  <c r="G130" i="14"/>
  <c r="H130" i="14"/>
  <c r="E131" i="14"/>
  <c r="F131" i="14"/>
  <c r="G131" i="14"/>
  <c r="J214" i="4"/>
  <c r="H131" i="14" s="1"/>
  <c r="F214" i="4"/>
  <c r="F209" i="4"/>
  <c r="F210" i="4"/>
  <c r="H408" i="7"/>
  <c r="I408" i="7"/>
  <c r="J408" i="7"/>
  <c r="P408" i="7"/>
  <c r="G408" i="7"/>
  <c r="L408" i="7" s="1"/>
  <c r="F48" i="12"/>
  <c r="I203" i="4"/>
  <c r="G198" i="4"/>
  <c r="H198" i="4"/>
  <c r="F46" i="12" s="1"/>
  <c r="F47" i="12" s="1"/>
  <c r="J197" i="4"/>
  <c r="E93" i="14"/>
  <c r="F93" i="14"/>
  <c r="G93" i="14"/>
  <c r="J164" i="4"/>
  <c r="E94" i="14"/>
  <c r="F94" i="14"/>
  <c r="G94" i="14"/>
  <c r="J165" i="4"/>
  <c r="H94" i="14" s="1"/>
  <c r="E95" i="14"/>
  <c r="F95" i="14"/>
  <c r="G95" i="14"/>
  <c r="J166" i="4"/>
  <c r="H95" i="14" s="1"/>
  <c r="E96" i="14"/>
  <c r="F96" i="14"/>
  <c r="G96" i="14"/>
  <c r="J167" i="4"/>
  <c r="H96" i="14" s="1"/>
  <c r="E97" i="14"/>
  <c r="F97" i="14"/>
  <c r="G97" i="14"/>
  <c r="J168" i="4"/>
  <c r="H97" i="14" s="1"/>
  <c r="E98" i="14"/>
  <c r="F98" i="14"/>
  <c r="G98" i="14"/>
  <c r="J169" i="4"/>
  <c r="E100" i="14"/>
  <c r="F100" i="14"/>
  <c r="G100" i="14"/>
  <c r="J173" i="4"/>
  <c r="E101" i="14"/>
  <c r="F101" i="14"/>
  <c r="G101" i="14"/>
  <c r="J174" i="4"/>
  <c r="H101" i="14" s="1"/>
  <c r="E102" i="14"/>
  <c r="F102" i="14"/>
  <c r="G102" i="14"/>
  <c r="J175" i="4"/>
  <c r="H102" i="14" s="1"/>
  <c r="E103" i="14"/>
  <c r="F103" i="14"/>
  <c r="G103" i="14"/>
  <c r="J176" i="4"/>
  <c r="H103" i="14" s="1"/>
  <c r="F104" i="14"/>
  <c r="G104" i="14"/>
  <c r="J179" i="4"/>
  <c r="E105" i="14"/>
  <c r="F105" i="14"/>
  <c r="G105" i="14"/>
  <c r="J180" i="4"/>
  <c r="H105" i="14" s="1"/>
  <c r="E106" i="14"/>
  <c r="F106" i="14"/>
  <c r="G106" i="14"/>
  <c r="J181" i="4"/>
  <c r="H106" i="14" s="1"/>
  <c r="E107" i="14"/>
  <c r="F107" i="14"/>
  <c r="G107" i="14"/>
  <c r="J182" i="4"/>
  <c r="H107" i="14" s="1"/>
  <c r="E108" i="14"/>
  <c r="F108" i="14"/>
  <c r="G108" i="14"/>
  <c r="J183" i="4"/>
  <c r="H108" i="14" s="1"/>
  <c r="E109" i="14"/>
  <c r="F109" i="14"/>
  <c r="G109" i="14"/>
  <c r="J184" i="4"/>
  <c r="H109" i="14" s="1"/>
  <c r="E110" i="14"/>
  <c r="F110" i="14"/>
  <c r="G110" i="14"/>
  <c r="J185" i="4"/>
  <c r="H110" i="14" s="1"/>
  <c r="E111" i="14"/>
  <c r="F111" i="14"/>
  <c r="G111" i="14"/>
  <c r="J186" i="4"/>
  <c r="H111" i="14" s="1"/>
  <c r="E112" i="14"/>
  <c r="F112" i="14"/>
  <c r="G112" i="14"/>
  <c r="J187" i="4"/>
  <c r="H112" i="14" s="1"/>
  <c r="G193" i="4"/>
  <c r="G194" i="4" s="1"/>
  <c r="I193" i="4"/>
  <c r="J192" i="4"/>
  <c r="J193" i="4" s="1"/>
  <c r="J194" i="4" s="1"/>
  <c r="E86" i="14"/>
  <c r="G86" i="14"/>
  <c r="E87" i="14"/>
  <c r="F87" i="14"/>
  <c r="G87" i="14"/>
  <c r="J154" i="4"/>
  <c r="H87" i="14" s="1"/>
  <c r="E88" i="14"/>
  <c r="F88" i="14"/>
  <c r="G88" i="14"/>
  <c r="J155" i="4"/>
  <c r="H88" i="14" s="1"/>
  <c r="J158" i="4"/>
  <c r="J160" i="4" s="1"/>
  <c r="E84" i="14"/>
  <c r="F84" i="14"/>
  <c r="G84" i="14"/>
  <c r="H84" i="14"/>
  <c r="E85" i="14"/>
  <c r="F85" i="14"/>
  <c r="G85" i="14"/>
  <c r="H85" i="14"/>
  <c r="G81" i="14"/>
  <c r="J144" i="4"/>
  <c r="E82" i="14"/>
  <c r="F82" i="14"/>
  <c r="G82" i="14"/>
  <c r="J145" i="4"/>
  <c r="H82" i="14" s="1"/>
  <c r="E83" i="14"/>
  <c r="F83" i="14"/>
  <c r="G83" i="14"/>
  <c r="H83" i="14"/>
  <c r="F145" i="4"/>
  <c r="G142" i="4"/>
  <c r="F78" i="14"/>
  <c r="G78" i="14"/>
  <c r="J139" i="4"/>
  <c r="E80" i="14"/>
  <c r="G80" i="14"/>
  <c r="J141" i="4"/>
  <c r="H80" i="14" s="1"/>
  <c r="F139" i="4"/>
  <c r="G75" i="14"/>
  <c r="J134" i="4"/>
  <c r="E76" i="14"/>
  <c r="F76" i="14"/>
  <c r="G76" i="14"/>
  <c r="J135" i="4"/>
  <c r="H76" i="14" s="1"/>
  <c r="E77" i="14"/>
  <c r="F77" i="14"/>
  <c r="G77" i="14"/>
  <c r="J136" i="4"/>
  <c r="H77" i="14" s="1"/>
  <c r="F135" i="4"/>
  <c r="F136" i="4"/>
  <c r="F134" i="4"/>
  <c r="E68" i="14"/>
  <c r="G68" i="14"/>
  <c r="J125" i="4"/>
  <c r="E69" i="14"/>
  <c r="F69" i="14"/>
  <c r="G69" i="14"/>
  <c r="J126" i="4"/>
  <c r="H69" i="14" s="1"/>
  <c r="E70" i="14"/>
  <c r="F70" i="14"/>
  <c r="G70" i="14"/>
  <c r="J127" i="4"/>
  <c r="H70" i="14" s="1"/>
  <c r="E71" i="14"/>
  <c r="F71" i="14"/>
  <c r="G71" i="14"/>
  <c r="J128" i="4"/>
  <c r="H71" i="14" s="1"/>
  <c r="E72" i="14"/>
  <c r="G72" i="14"/>
  <c r="J129" i="4"/>
  <c r="H72" i="14" s="1"/>
  <c r="E73" i="14"/>
  <c r="F73" i="14"/>
  <c r="G73" i="14"/>
  <c r="J130" i="4"/>
  <c r="H73" i="14" s="1"/>
  <c r="E74" i="14"/>
  <c r="F74" i="14"/>
  <c r="G74" i="14"/>
  <c r="J131" i="4"/>
  <c r="H74" i="14" s="1"/>
  <c r="G121" i="4"/>
  <c r="E30" i="12" s="1"/>
  <c r="H121" i="4"/>
  <c r="F30" i="12" s="1"/>
  <c r="J120" i="4"/>
  <c r="J121" i="4" s="1"/>
  <c r="H30" i="12" s="1"/>
  <c r="G118" i="4"/>
  <c r="E29" i="12" s="1"/>
  <c r="I118" i="4"/>
  <c r="G29" i="12" s="1"/>
  <c r="J117" i="4"/>
  <c r="J118" i="4" s="1"/>
  <c r="H29" i="12" s="1"/>
  <c r="F63" i="14"/>
  <c r="I115" i="4"/>
  <c r="G28" i="12" s="1"/>
  <c r="J114" i="4"/>
  <c r="E61" i="14"/>
  <c r="F61" i="14"/>
  <c r="G61" i="14"/>
  <c r="J103" i="4"/>
  <c r="H61" i="14" s="1"/>
  <c r="E62" i="14"/>
  <c r="F62" i="14"/>
  <c r="G62" i="14"/>
  <c r="J104" i="4"/>
  <c r="H62" i="14" s="1"/>
  <c r="G101" i="4"/>
  <c r="E26" i="12" s="1"/>
  <c r="H101" i="4"/>
  <c r="F26" i="12" s="1"/>
  <c r="J100" i="4"/>
  <c r="J101" i="4" s="1"/>
  <c r="H26" i="12" s="1"/>
  <c r="G98" i="4"/>
  <c r="E25" i="12" s="1"/>
  <c r="I98" i="4"/>
  <c r="G25" i="12" s="1"/>
  <c r="J97" i="4"/>
  <c r="J98" i="4" s="1"/>
  <c r="H25" i="12" s="1"/>
  <c r="H95" i="4"/>
  <c r="I95" i="4"/>
  <c r="G24" i="12" s="1"/>
  <c r="J94" i="4"/>
  <c r="E55" i="14"/>
  <c r="F55" i="14"/>
  <c r="G55" i="14"/>
  <c r="J89" i="4"/>
  <c r="E56" i="14"/>
  <c r="F56" i="14"/>
  <c r="G56" i="14"/>
  <c r="J90" i="4"/>
  <c r="E57" i="14"/>
  <c r="F57" i="14"/>
  <c r="G57" i="14"/>
  <c r="J91" i="4"/>
  <c r="G83" i="4"/>
  <c r="E21" i="12" s="1"/>
  <c r="H83" i="4"/>
  <c r="F21" i="12" s="1"/>
  <c r="I83" i="4"/>
  <c r="G21" i="12" s="1"/>
  <c r="J82" i="4"/>
  <c r="J83" i="4" s="1"/>
  <c r="H21" i="12" s="1"/>
  <c r="E48" i="14"/>
  <c r="F48" i="14"/>
  <c r="G48" i="14"/>
  <c r="H48" i="14"/>
  <c r="E49" i="14"/>
  <c r="F49" i="14"/>
  <c r="G49" i="14"/>
  <c r="H49" i="14"/>
  <c r="E45" i="14"/>
  <c r="F45" i="14"/>
  <c r="G45" i="14"/>
  <c r="J72" i="4"/>
  <c r="E46" i="14"/>
  <c r="F46" i="14"/>
  <c r="G46" i="14"/>
  <c r="J73" i="4"/>
  <c r="H46" i="14" s="1"/>
  <c r="E42" i="14"/>
  <c r="F42" i="14"/>
  <c r="G42" i="14"/>
  <c r="H42" i="14"/>
  <c r="E43" i="14"/>
  <c r="F43" i="14"/>
  <c r="G43" i="14"/>
  <c r="J68" i="4"/>
  <c r="H43" i="14" s="1"/>
  <c r="E44" i="14"/>
  <c r="F44" i="14"/>
  <c r="G44" i="14"/>
  <c r="J69" i="4"/>
  <c r="H44" i="14" s="1"/>
  <c r="E41" i="14"/>
  <c r="F41" i="14"/>
  <c r="G41" i="14"/>
  <c r="J64" i="4"/>
  <c r="H41" i="14" s="1"/>
  <c r="E36" i="14"/>
  <c r="F36" i="14"/>
  <c r="G36" i="14"/>
  <c r="J57" i="4"/>
  <c r="E37" i="14"/>
  <c r="F37" i="14"/>
  <c r="G37" i="14"/>
  <c r="J58" i="4"/>
  <c r="H37" i="14" s="1"/>
  <c r="E38" i="14"/>
  <c r="F38" i="14"/>
  <c r="G38" i="14"/>
  <c r="J59" i="4"/>
  <c r="H38" i="14" s="1"/>
  <c r="E39" i="14"/>
  <c r="F39" i="14"/>
  <c r="G39" i="14"/>
  <c r="J60" i="4"/>
  <c r="E33" i="14"/>
  <c r="G33" i="14"/>
  <c r="J52" i="4"/>
  <c r="H33" i="14" s="1"/>
  <c r="E34" i="14"/>
  <c r="F34" i="14"/>
  <c r="G34" i="14"/>
  <c r="J53" i="4"/>
  <c r="H34" i="14" s="1"/>
  <c r="E35" i="14"/>
  <c r="F35" i="14"/>
  <c r="G35" i="14"/>
  <c r="J54" i="4"/>
  <c r="H35" i="14" s="1"/>
  <c r="F52" i="4"/>
  <c r="G48" i="4"/>
  <c r="E13" i="12" s="1"/>
  <c r="I48" i="4"/>
  <c r="G13" i="12" s="1"/>
  <c r="J47" i="4"/>
  <c r="J48" i="4" s="1"/>
  <c r="H13" i="12" s="1"/>
  <c r="H45" i="4"/>
  <c r="F12" i="12" s="1"/>
  <c r="I45" i="4"/>
  <c r="G12" i="12" s="1"/>
  <c r="J44" i="4"/>
  <c r="G42" i="4"/>
  <c r="E11" i="12" s="1"/>
  <c r="F28" i="14"/>
  <c r="I42" i="4"/>
  <c r="G11" i="12" s="1"/>
  <c r="J41" i="4"/>
  <c r="J42" i="4" s="1"/>
  <c r="H11" i="12" s="1"/>
  <c r="G39" i="4"/>
  <c r="E10" i="12" s="1"/>
  <c r="H39" i="4"/>
  <c r="F10" i="12" s="1"/>
  <c r="I39" i="4"/>
  <c r="G10" i="12" s="1"/>
  <c r="J38" i="4"/>
  <c r="J39" i="4" s="1"/>
  <c r="H10" i="12" s="1"/>
  <c r="F9" i="12"/>
  <c r="I36" i="4"/>
  <c r="G9" i="12" s="1"/>
  <c r="J35" i="4"/>
  <c r="H13" i="14"/>
  <c r="I13" i="14" s="1"/>
  <c r="J28" i="4"/>
  <c r="H21" i="14" s="1"/>
  <c r="J29" i="4"/>
  <c r="H22" i="14" s="1"/>
  <c r="J30" i="4"/>
  <c r="H23" i="14" s="1"/>
  <c r="F30" i="4"/>
  <c r="J22" i="4"/>
  <c r="J23" i="4"/>
  <c r="H18" i="14" s="1"/>
  <c r="J24" i="4"/>
  <c r="H19" i="14" s="1"/>
  <c r="J25" i="4"/>
  <c r="H20" i="14" s="1"/>
  <c r="F23" i="4"/>
  <c r="F24" i="4"/>
  <c r="F25" i="4"/>
  <c r="F22" i="4"/>
  <c r="J18" i="4"/>
  <c r="H15" i="14" s="1"/>
  <c r="J19" i="4"/>
  <c r="H16" i="14" s="1"/>
  <c r="H10" i="14"/>
  <c r="H11" i="14"/>
  <c r="H9" i="14"/>
  <c r="H8" i="14"/>
  <c r="H7" i="14"/>
  <c r="F7" i="4"/>
  <c r="D6" i="14" s="1"/>
  <c r="F8" i="4"/>
  <c r="F9" i="4"/>
  <c r="F132" i="6"/>
  <c r="F135" i="6"/>
  <c r="F138" i="6"/>
  <c r="G48" i="12" l="1"/>
  <c r="I204" i="4"/>
  <c r="J275" i="4"/>
  <c r="J276" i="4" s="1"/>
  <c r="G400" i="4"/>
  <c r="E107" i="12" s="1"/>
  <c r="I400" i="4"/>
  <c r="G107" i="12" s="1"/>
  <c r="H400" i="4"/>
  <c r="F107" i="12" s="1"/>
  <c r="K387" i="4"/>
  <c r="K385" i="4"/>
  <c r="K340" i="4"/>
  <c r="K386" i="4"/>
  <c r="K388" i="4"/>
  <c r="K384" i="4"/>
  <c r="H107" i="12"/>
  <c r="K395" i="4"/>
  <c r="J284" i="4"/>
  <c r="J289" i="4" s="1"/>
  <c r="F24" i="12"/>
  <c r="H17" i="14"/>
  <c r="K22" i="4"/>
  <c r="H246" i="14"/>
  <c r="H55" i="14"/>
  <c r="H247" i="14"/>
  <c r="H57" i="14"/>
  <c r="J252" i="4"/>
  <c r="K251" i="4"/>
  <c r="H191" i="14"/>
  <c r="I191" i="14" s="1"/>
  <c r="K304" i="4"/>
  <c r="H56" i="14"/>
  <c r="E163" i="14"/>
  <c r="F49" i="12"/>
  <c r="E13" i="10" s="1"/>
  <c r="J171" i="4"/>
  <c r="H40" i="12" s="1"/>
  <c r="J232" i="4"/>
  <c r="J233" i="4" s="1"/>
  <c r="E222" i="14"/>
  <c r="D17" i="14"/>
  <c r="F26" i="4"/>
  <c r="H36" i="14"/>
  <c r="J62" i="4"/>
  <c r="H16" i="12" s="1"/>
  <c r="G49" i="12"/>
  <c r="F13" i="10" s="1"/>
  <c r="E206" i="14"/>
  <c r="H45" i="14"/>
  <c r="J75" i="4"/>
  <c r="H19" i="12" s="1"/>
  <c r="H98" i="14"/>
  <c r="H215" i="14"/>
  <c r="H88" i="12"/>
  <c r="F179" i="14"/>
  <c r="G143" i="14"/>
  <c r="F143" i="14"/>
  <c r="G133" i="14"/>
  <c r="F133" i="14"/>
  <c r="I53" i="14"/>
  <c r="H39" i="14"/>
  <c r="G276" i="4"/>
  <c r="F167" i="14"/>
  <c r="H276" i="4"/>
  <c r="I276" i="4"/>
  <c r="G167" i="14"/>
  <c r="F137" i="4"/>
  <c r="E81" i="14"/>
  <c r="G147" i="4"/>
  <c r="E35" i="12" s="1"/>
  <c r="G38" i="12"/>
  <c r="E89" i="14"/>
  <c r="E38" i="12"/>
  <c r="H20" i="4"/>
  <c r="F68" i="14"/>
  <c r="F38" i="12"/>
  <c r="F6" i="12"/>
  <c r="F7" i="12"/>
  <c r="E75" i="14"/>
  <c r="G137" i="4"/>
  <c r="E33" i="12" s="1"/>
  <c r="F86" i="14"/>
  <c r="F37" i="12"/>
  <c r="E135" i="14"/>
  <c r="E137" i="14" s="1"/>
  <c r="G224" i="4"/>
  <c r="E156" i="14"/>
  <c r="G252" i="4"/>
  <c r="H161" i="14"/>
  <c r="H163" i="14" s="1"/>
  <c r="J264" i="4"/>
  <c r="F208" i="14"/>
  <c r="H333" i="4"/>
  <c r="F70" i="12"/>
  <c r="F75" i="14"/>
  <c r="F33" i="12"/>
  <c r="E78" i="14"/>
  <c r="F81" i="14"/>
  <c r="F35" i="12"/>
  <c r="E104" i="14"/>
  <c r="E113" i="14" s="1"/>
  <c r="G188" i="4"/>
  <c r="E42" i="12" s="1"/>
  <c r="G168" i="14"/>
  <c r="G70" i="12"/>
  <c r="F33" i="14"/>
  <c r="E126" i="14"/>
  <c r="E133" i="14" s="1"/>
  <c r="G215" i="4"/>
  <c r="G219" i="4" s="1"/>
  <c r="E139" i="14"/>
  <c r="E143" i="14" s="1"/>
  <c r="E145" i="14"/>
  <c r="E150" i="14" s="1"/>
  <c r="G241" i="4"/>
  <c r="J241" i="4"/>
  <c r="F80" i="14"/>
  <c r="F34" i="12"/>
  <c r="F72" i="14"/>
  <c r="H135" i="14"/>
  <c r="H137" i="14" s="1"/>
  <c r="J224" i="4"/>
  <c r="H75" i="14"/>
  <c r="J137" i="4"/>
  <c r="H33" i="12" s="1"/>
  <c r="H81" i="14"/>
  <c r="J147" i="4"/>
  <c r="H35" i="12" s="1"/>
  <c r="H104" i="14"/>
  <c r="J188" i="4"/>
  <c r="H42" i="12" s="1"/>
  <c r="H100" i="14"/>
  <c r="J177" i="4"/>
  <c r="H41" i="12" s="1"/>
  <c r="H145" i="14"/>
  <c r="H150" i="14" s="1"/>
  <c r="H78" i="14"/>
  <c r="J142" i="4"/>
  <c r="H34" i="12" s="1"/>
  <c r="H126" i="14"/>
  <c r="H133" i="14" s="1"/>
  <c r="J215" i="4"/>
  <c r="J219" i="4" s="1"/>
  <c r="H139" i="14"/>
  <c r="H143" i="14" s="1"/>
  <c r="H156" i="14"/>
  <c r="I156" i="14" s="1"/>
  <c r="H68" i="14"/>
  <c r="J132" i="4"/>
  <c r="H32" i="12" s="1"/>
  <c r="H86" i="14"/>
  <c r="J156" i="4"/>
  <c r="H37" i="12" s="1"/>
  <c r="H93" i="14"/>
  <c r="H175" i="14"/>
  <c r="H38" i="12"/>
  <c r="H6" i="14"/>
  <c r="E24" i="14"/>
  <c r="G24" i="14"/>
  <c r="F77" i="13"/>
  <c r="F102" i="13" s="1"/>
  <c r="F194" i="14"/>
  <c r="H298" i="4"/>
  <c r="G194" i="14"/>
  <c r="I298" i="4"/>
  <c r="G76" i="12" s="1"/>
  <c r="J198" i="4"/>
  <c r="H46" i="12" s="1"/>
  <c r="G199" i="4"/>
  <c r="E46" i="12"/>
  <c r="H181" i="14"/>
  <c r="J298" i="4"/>
  <c r="H76" i="12" s="1"/>
  <c r="G298" i="4"/>
  <c r="E76" i="12" s="1"/>
  <c r="G14" i="12"/>
  <c r="F6" i="10" s="1"/>
  <c r="H336" i="4"/>
  <c r="F85" i="12" s="1"/>
  <c r="I336" i="4"/>
  <c r="G85" i="12" s="1"/>
  <c r="H255" i="4"/>
  <c r="F63" i="12" s="1"/>
  <c r="H42" i="4"/>
  <c r="F11" i="12" s="1"/>
  <c r="H115" i="4"/>
  <c r="F28" i="12" s="1"/>
  <c r="I353" i="4"/>
  <c r="G89" i="12" s="1"/>
  <c r="H353" i="4"/>
  <c r="F89" i="12" s="1"/>
  <c r="G353" i="4"/>
  <c r="E89" i="12" s="1"/>
  <c r="H256" i="14"/>
  <c r="F168" i="14"/>
  <c r="J315" i="4"/>
  <c r="F58" i="14"/>
  <c r="F121" i="14"/>
  <c r="H197" i="14"/>
  <c r="E224" i="14"/>
  <c r="E225" i="14" s="1"/>
  <c r="G30" i="14"/>
  <c r="G26" i="14"/>
  <c r="E59" i="14"/>
  <c r="E118" i="14"/>
  <c r="E119" i="14" s="1"/>
  <c r="E28" i="14"/>
  <c r="G64" i="14"/>
  <c r="H59" i="14"/>
  <c r="H118" i="14"/>
  <c r="H119" i="14" s="1"/>
  <c r="H157" i="14"/>
  <c r="F73" i="12"/>
  <c r="H28" i="14"/>
  <c r="F65" i="14"/>
  <c r="G315" i="4"/>
  <c r="J36" i="4"/>
  <c r="H9" i="12" s="1"/>
  <c r="H26" i="14"/>
  <c r="G45" i="4"/>
  <c r="E12" i="12" s="1"/>
  <c r="E29" i="14"/>
  <c r="J95" i="4"/>
  <c r="H24" i="12" s="1"/>
  <c r="H58" i="14"/>
  <c r="G95" i="4"/>
  <c r="E24" i="12" s="1"/>
  <c r="E58" i="14"/>
  <c r="H98" i="4"/>
  <c r="F25" i="12" s="1"/>
  <c r="F59" i="14"/>
  <c r="I101" i="4"/>
  <c r="G26" i="12" s="1"/>
  <c r="G60" i="14"/>
  <c r="J115" i="4"/>
  <c r="H28" i="12" s="1"/>
  <c r="H63" i="14"/>
  <c r="G115" i="4"/>
  <c r="E28" i="12" s="1"/>
  <c r="E63" i="14"/>
  <c r="H118" i="4"/>
  <c r="F29" i="12" s="1"/>
  <c r="F64" i="14"/>
  <c r="I121" i="4"/>
  <c r="G30" i="12" s="1"/>
  <c r="G65" i="14"/>
  <c r="F115" i="14"/>
  <c r="F116" i="14" s="1"/>
  <c r="I198" i="4"/>
  <c r="G46" i="12" s="1"/>
  <c r="G47" i="12" s="1"/>
  <c r="G118" i="14"/>
  <c r="G119" i="14" s="1"/>
  <c r="J203" i="4"/>
  <c r="J204" i="4" s="1"/>
  <c r="H121" i="14"/>
  <c r="E48" i="12"/>
  <c r="E121" i="14"/>
  <c r="H246" i="4"/>
  <c r="F152" i="14"/>
  <c r="F153" i="14" s="1"/>
  <c r="H155" i="14"/>
  <c r="I255" i="4"/>
  <c r="G63" i="12" s="1"/>
  <c r="G157" i="14"/>
  <c r="G159" i="14" s="1"/>
  <c r="G258" i="4"/>
  <c r="E64" i="12"/>
  <c r="E158" i="14"/>
  <c r="H358" i="4"/>
  <c r="F224" i="14"/>
  <c r="F225" i="14" s="1"/>
  <c r="H252" i="14"/>
  <c r="I252" i="14" s="1"/>
  <c r="H248" i="14"/>
  <c r="I248" i="14" s="1"/>
  <c r="J389" i="4"/>
  <c r="H243" i="14"/>
  <c r="G389" i="4"/>
  <c r="E243" i="14"/>
  <c r="F253" i="14"/>
  <c r="G36" i="4"/>
  <c r="E9" i="12" s="1"/>
  <c r="E26" i="14"/>
  <c r="J45" i="4"/>
  <c r="H12" i="12" s="1"/>
  <c r="H29" i="14"/>
  <c r="F30" i="14"/>
  <c r="E167" i="14"/>
  <c r="F27" i="14"/>
  <c r="H167" i="14"/>
  <c r="F197" i="14"/>
  <c r="H315" i="4"/>
  <c r="I315" i="4"/>
  <c r="G196" i="14"/>
  <c r="H199" i="4"/>
  <c r="E12" i="10"/>
  <c r="J247" i="4"/>
  <c r="H60" i="12"/>
  <c r="H61" i="12" s="1"/>
  <c r="G20" i="10" s="1"/>
  <c r="G247" i="4"/>
  <c r="E60" i="12"/>
  <c r="E61" i="12" s="1"/>
  <c r="D20" i="10" s="1"/>
  <c r="J258" i="4"/>
  <c r="H64" i="12"/>
  <c r="J359" i="4"/>
  <c r="H91" i="12"/>
  <c r="H92" i="12" s="1"/>
  <c r="G33" i="10" s="1"/>
  <c r="G359" i="4"/>
  <c r="E91" i="12"/>
  <c r="E92" i="12" s="1"/>
  <c r="D33" i="10" s="1"/>
  <c r="I251" i="14"/>
  <c r="G29" i="14"/>
  <c r="H27" i="14"/>
  <c r="E27" i="14"/>
  <c r="F26" i="14"/>
  <c r="G50" i="14"/>
  <c r="H65" i="14"/>
  <c r="E65" i="14"/>
  <c r="G63" i="14"/>
  <c r="G89" i="14"/>
  <c r="G91" i="14" s="1"/>
  <c r="G115" i="14"/>
  <c r="G116" i="14" s="1"/>
  <c r="G152" i="14"/>
  <c r="G153" i="14" s="1"/>
  <c r="I252" i="4"/>
  <c r="G62" i="12" s="1"/>
  <c r="H257" i="14"/>
  <c r="I257" i="14" s="1"/>
  <c r="I194" i="4"/>
  <c r="G44" i="12"/>
  <c r="G45" i="12" s="1"/>
  <c r="F11" i="10" s="1"/>
  <c r="I247" i="4"/>
  <c r="G60" i="12"/>
  <c r="G61" i="12" s="1"/>
  <c r="F20" i="10" s="1"/>
  <c r="H258" i="4"/>
  <c r="F64" i="12"/>
  <c r="I183" i="14"/>
  <c r="F336" i="4"/>
  <c r="D85" i="12" s="1"/>
  <c r="D210" i="14"/>
  <c r="J336" i="4"/>
  <c r="H85" i="12" s="1"/>
  <c r="H210" i="14"/>
  <c r="G336" i="4"/>
  <c r="E85" i="12" s="1"/>
  <c r="E210" i="14"/>
  <c r="E211" i="14" s="1"/>
  <c r="I358" i="4"/>
  <c r="G224" i="14"/>
  <c r="G225" i="14" s="1"/>
  <c r="G253" i="14"/>
  <c r="G262" i="14" s="1"/>
  <c r="G274" i="14" s="1"/>
  <c r="G73" i="12"/>
  <c r="G179" i="14"/>
  <c r="H173" i="14"/>
  <c r="I389" i="4"/>
  <c r="H389" i="4"/>
  <c r="G27" i="14"/>
  <c r="H50" i="14"/>
  <c r="E50" i="14"/>
  <c r="E51" i="14" s="1"/>
  <c r="H60" i="14"/>
  <c r="E60" i="14"/>
  <c r="G58" i="14"/>
  <c r="H89" i="14"/>
  <c r="H115" i="14"/>
  <c r="H116" i="14" s="1"/>
  <c r="E115" i="14"/>
  <c r="E116" i="14" s="1"/>
  <c r="F118" i="14"/>
  <c r="F119" i="14" s="1"/>
  <c r="G121" i="14"/>
  <c r="H152" i="14"/>
  <c r="H153" i="14" s="1"/>
  <c r="E152" i="14"/>
  <c r="E153" i="14" s="1"/>
  <c r="H158" i="14"/>
  <c r="H224" i="14"/>
  <c r="H225" i="14" s="1"/>
  <c r="E253" i="14"/>
  <c r="F243" i="14"/>
  <c r="E44" i="12"/>
  <c r="E45" i="12" s="1"/>
  <c r="D11" i="10" s="1"/>
  <c r="G255" i="4"/>
  <c r="E63" i="12" s="1"/>
  <c r="E157" i="14"/>
  <c r="I258" i="4"/>
  <c r="G64" i="12"/>
  <c r="G222" i="14"/>
  <c r="H168" i="14"/>
  <c r="E168" i="14"/>
  <c r="H177" i="14"/>
  <c r="H74" i="12"/>
  <c r="E74" i="12"/>
  <c r="F74" i="12"/>
  <c r="H30" i="14"/>
  <c r="E30" i="14"/>
  <c r="F29" i="14"/>
  <c r="G28" i="14"/>
  <c r="F50" i="14"/>
  <c r="H64" i="14"/>
  <c r="E64" i="14"/>
  <c r="F60" i="14"/>
  <c r="G59" i="14"/>
  <c r="F89" i="14"/>
  <c r="F158" i="14"/>
  <c r="F159" i="14" s="1"/>
  <c r="H253" i="14"/>
  <c r="H44" i="12"/>
  <c r="H45" i="12" s="1"/>
  <c r="G11" i="10" s="1"/>
  <c r="O11" i="10" s="1"/>
  <c r="G74" i="12"/>
  <c r="J323" i="4"/>
  <c r="H81" i="12" s="1"/>
  <c r="G323" i="4"/>
  <c r="E81" i="12" s="1"/>
  <c r="H323" i="4"/>
  <c r="F81" i="12" s="1"/>
  <c r="I323" i="4"/>
  <c r="G81" i="12" s="1"/>
  <c r="G76" i="13"/>
  <c r="G72" i="13"/>
  <c r="G66" i="13"/>
  <c r="G62" i="13"/>
  <c r="G59" i="13"/>
  <c r="G75" i="13"/>
  <c r="G73" i="13"/>
  <c r="G71" i="13"/>
  <c r="G69" i="13"/>
  <c r="G67" i="13"/>
  <c r="G65" i="13"/>
  <c r="G63" i="13"/>
  <c r="G61" i="13"/>
  <c r="G74" i="13"/>
  <c r="G70" i="13"/>
  <c r="G68" i="13"/>
  <c r="G64" i="13"/>
  <c r="G60" i="13"/>
  <c r="E77" i="13"/>
  <c r="E102" i="13" s="1"/>
  <c r="D77" i="13"/>
  <c r="D102" i="13" s="1"/>
  <c r="F222" i="14"/>
  <c r="G211" i="14"/>
  <c r="F163" i="14"/>
  <c r="G163" i="14"/>
  <c r="F150" i="14"/>
  <c r="G150" i="14"/>
  <c r="F137" i="14"/>
  <c r="G137" i="14"/>
  <c r="G113" i="14"/>
  <c r="F113" i="14"/>
  <c r="F139" i="6"/>
  <c r="G342" i="4"/>
  <c r="E88" i="12"/>
  <c r="J342" i="4"/>
  <c r="J305" i="4"/>
  <c r="H77" i="12" s="1"/>
  <c r="J353" i="4"/>
  <c r="H89" i="12" s="1"/>
  <c r="H342" i="4"/>
  <c r="I342" i="4"/>
  <c r="F88" i="12"/>
  <c r="G88" i="12"/>
  <c r="G92" i="4"/>
  <c r="E40" i="12"/>
  <c r="I142" i="4"/>
  <c r="G34" i="12" s="1"/>
  <c r="K335" i="4"/>
  <c r="I327" i="4"/>
  <c r="G82" i="12" s="1"/>
  <c r="F82" i="12"/>
  <c r="J333" i="4"/>
  <c r="G333" i="4"/>
  <c r="I333" i="4"/>
  <c r="J309" i="4"/>
  <c r="H78" i="12" s="1"/>
  <c r="G309" i="4"/>
  <c r="E78" i="12" s="1"/>
  <c r="J327" i="4"/>
  <c r="H82" i="12" s="1"/>
  <c r="G327" i="4"/>
  <c r="E82" i="12" s="1"/>
  <c r="I309" i="4"/>
  <c r="G78" i="12" s="1"/>
  <c r="G305" i="4"/>
  <c r="E77" i="12" s="1"/>
  <c r="F77" i="12"/>
  <c r="I305" i="4"/>
  <c r="G77" i="12" s="1"/>
  <c r="J65" i="4"/>
  <c r="H17" i="12" s="1"/>
  <c r="G65" i="4"/>
  <c r="E17" i="12" s="1"/>
  <c r="H309" i="4"/>
  <c r="F78" i="12" s="1"/>
  <c r="I264" i="4"/>
  <c r="H264" i="4"/>
  <c r="H252" i="4"/>
  <c r="G264" i="4"/>
  <c r="H224" i="4"/>
  <c r="I241" i="4"/>
  <c r="I224" i="4"/>
  <c r="H219" i="4"/>
  <c r="I215" i="4"/>
  <c r="I219" i="4" s="1"/>
  <c r="I156" i="4"/>
  <c r="G37" i="12" s="1"/>
  <c r="K212" i="4"/>
  <c r="I177" i="4"/>
  <c r="G41" i="12" s="1"/>
  <c r="J151" i="4"/>
  <c r="H36" i="12" s="1"/>
  <c r="G151" i="4"/>
  <c r="E36" i="12" s="1"/>
  <c r="F36" i="12"/>
  <c r="E34" i="12"/>
  <c r="I188" i="4"/>
  <c r="G42" i="12" s="1"/>
  <c r="F42" i="12"/>
  <c r="F40" i="12"/>
  <c r="I151" i="4"/>
  <c r="G36" i="12" s="1"/>
  <c r="G177" i="4"/>
  <c r="E41" i="12" s="1"/>
  <c r="F41" i="12"/>
  <c r="G40" i="12"/>
  <c r="I147" i="4"/>
  <c r="G35" i="12" s="1"/>
  <c r="J92" i="4"/>
  <c r="I132" i="4"/>
  <c r="G32" i="12" s="1"/>
  <c r="I137" i="4"/>
  <c r="G33" i="12" s="1"/>
  <c r="G156" i="4"/>
  <c r="E37" i="12" s="1"/>
  <c r="I105" i="4"/>
  <c r="G27" i="12" s="1"/>
  <c r="J105" i="4"/>
  <c r="H27" i="12" s="1"/>
  <c r="H105" i="4"/>
  <c r="F27" i="12" s="1"/>
  <c r="G132" i="4"/>
  <c r="E32" i="12" s="1"/>
  <c r="G105" i="4"/>
  <c r="E27" i="12" s="1"/>
  <c r="E19" i="12"/>
  <c r="G19" i="12"/>
  <c r="G80" i="4"/>
  <c r="E20" i="12" s="1"/>
  <c r="I65" i="4"/>
  <c r="G17" i="12" s="1"/>
  <c r="F23" i="12"/>
  <c r="I92" i="4"/>
  <c r="I80" i="4"/>
  <c r="G20" i="12" s="1"/>
  <c r="F20" i="12"/>
  <c r="J80" i="4"/>
  <c r="H20" i="12" s="1"/>
  <c r="G16" i="12"/>
  <c r="F17" i="12"/>
  <c r="E16" i="12"/>
  <c r="F16" i="12"/>
  <c r="F19" i="12"/>
  <c r="J70" i="4"/>
  <c r="H18" i="12" s="1"/>
  <c r="G70" i="4"/>
  <c r="E18" i="12" s="1"/>
  <c r="H70" i="4"/>
  <c r="F18" i="12" s="1"/>
  <c r="I70" i="4"/>
  <c r="G18" i="12" s="1"/>
  <c r="I55" i="4"/>
  <c r="J31" i="4"/>
  <c r="H7" i="12" s="1"/>
  <c r="G31" i="4"/>
  <c r="E7" i="12" s="1"/>
  <c r="I31" i="4"/>
  <c r="G7" i="12" s="1"/>
  <c r="J55" i="4"/>
  <c r="G55" i="4"/>
  <c r="J20" i="4"/>
  <c r="H5" i="12" s="1"/>
  <c r="G20" i="4"/>
  <c r="I26" i="4"/>
  <c r="G6" i="12" s="1"/>
  <c r="J26" i="4"/>
  <c r="H6" i="12" s="1"/>
  <c r="G26" i="4"/>
  <c r="E6" i="12" s="1"/>
  <c r="I20" i="4"/>
  <c r="G5" i="12" s="1"/>
  <c r="I49" i="4"/>
  <c r="H108" i="7"/>
  <c r="H128" i="7"/>
  <c r="H129" i="7" s="1"/>
  <c r="H343" i="7"/>
  <c r="H227" i="7"/>
  <c r="H48" i="12" l="1"/>
  <c r="H49" i="12" s="1"/>
  <c r="G13" i="10" s="1"/>
  <c r="O13" i="10" s="1"/>
  <c r="G401" i="4"/>
  <c r="G415" i="4" s="1"/>
  <c r="H401" i="4"/>
  <c r="H415" i="4" s="1"/>
  <c r="F262" i="14"/>
  <c r="F274" i="14" s="1"/>
  <c r="E262" i="14"/>
  <c r="E274" i="14" s="1"/>
  <c r="H262" i="14"/>
  <c r="H274" i="14" s="1"/>
  <c r="I401" i="4"/>
  <c r="I415" i="4" s="1"/>
  <c r="J401" i="4"/>
  <c r="J415" i="4" s="1"/>
  <c r="G106" i="12"/>
  <c r="G108" i="12" s="1"/>
  <c r="G111" i="12" s="1"/>
  <c r="F106" i="12"/>
  <c r="F108" i="12" s="1"/>
  <c r="F111" i="12" s="1"/>
  <c r="H23" i="12"/>
  <c r="H31" i="12" s="1"/>
  <c r="G8" i="10" s="1"/>
  <c r="J122" i="4"/>
  <c r="H122" i="4"/>
  <c r="G23" i="12"/>
  <c r="G31" i="12" s="1"/>
  <c r="F8" i="10" s="1"/>
  <c r="I122" i="4"/>
  <c r="E23" i="12"/>
  <c r="E31" i="12" s="1"/>
  <c r="D8" i="10" s="1"/>
  <c r="G122" i="4"/>
  <c r="H106" i="12"/>
  <c r="I17" i="14"/>
  <c r="H24" i="14"/>
  <c r="H206" i="14"/>
  <c r="H211" i="14"/>
  <c r="I210" i="14"/>
  <c r="H222" i="14"/>
  <c r="E66" i="14"/>
  <c r="H91" i="14"/>
  <c r="E159" i="14"/>
  <c r="E164" i="14" s="1"/>
  <c r="E91" i="14"/>
  <c r="E49" i="12"/>
  <c r="D13" i="10" s="1"/>
  <c r="E47" i="12"/>
  <c r="D12" i="10" s="1"/>
  <c r="F91" i="14"/>
  <c r="H47" i="12"/>
  <c r="G12" i="10" s="1"/>
  <c r="O12" i="10" s="1"/>
  <c r="E31" i="14"/>
  <c r="H179" i="14"/>
  <c r="F76" i="12"/>
  <c r="F79" i="12" s="1"/>
  <c r="E29" i="10" s="1"/>
  <c r="H310" i="4"/>
  <c r="I337" i="4"/>
  <c r="F169" i="14"/>
  <c r="F170" i="14" s="1"/>
  <c r="J337" i="4"/>
  <c r="G103" i="12"/>
  <c r="F39" i="10"/>
  <c r="G169" i="14"/>
  <c r="G170" i="14" s="1"/>
  <c r="G337" i="4"/>
  <c r="H337" i="4"/>
  <c r="F211" i="14"/>
  <c r="H113" i="14"/>
  <c r="G161" i="4"/>
  <c r="E5" i="12"/>
  <c r="G32" i="4"/>
  <c r="F24" i="14"/>
  <c r="H32" i="4"/>
  <c r="F69" i="12"/>
  <c r="F71" i="12" s="1"/>
  <c r="H169" i="14"/>
  <c r="H170" i="14" s="1"/>
  <c r="H159" i="14"/>
  <c r="H164" i="14" s="1"/>
  <c r="H161" i="4"/>
  <c r="H69" i="12"/>
  <c r="E69" i="12"/>
  <c r="G69" i="12"/>
  <c r="G71" i="12" s="1"/>
  <c r="H194" i="14"/>
  <c r="F5" i="12"/>
  <c r="F32" i="12"/>
  <c r="F39" i="12" s="1"/>
  <c r="E9" i="10" s="1"/>
  <c r="E226" i="14"/>
  <c r="H4" i="12"/>
  <c r="H8" i="12" s="1"/>
  <c r="G5" i="10" s="1"/>
  <c r="O5" i="10" s="1"/>
  <c r="J32" i="4"/>
  <c r="F4" i="12"/>
  <c r="E4" i="12"/>
  <c r="G4" i="12"/>
  <c r="G8" i="12" s="1"/>
  <c r="F5" i="10" s="1"/>
  <c r="I32" i="4"/>
  <c r="H15" i="12"/>
  <c r="H22" i="12" s="1"/>
  <c r="G7" i="10" s="1"/>
  <c r="O7" i="10" s="1"/>
  <c r="J84" i="4"/>
  <c r="E15" i="12"/>
  <c r="E22" i="12" s="1"/>
  <c r="D7" i="10" s="1"/>
  <c r="G84" i="4"/>
  <c r="F15" i="12"/>
  <c r="F22" i="12" s="1"/>
  <c r="E7" i="10" s="1"/>
  <c r="H84" i="4"/>
  <c r="G15" i="12"/>
  <c r="G22" i="12" s="1"/>
  <c r="F7" i="10" s="1"/>
  <c r="I84" i="4"/>
  <c r="J199" i="4"/>
  <c r="F13" i="12"/>
  <c r="F14" i="12" s="1"/>
  <c r="E6" i="10" s="1"/>
  <c r="H14" i="12"/>
  <c r="G6" i="10" s="1"/>
  <c r="O6" i="10" s="1"/>
  <c r="H51" i="14"/>
  <c r="F51" i="14"/>
  <c r="G51" i="14"/>
  <c r="G122" i="14"/>
  <c r="E169" i="14"/>
  <c r="E170" i="14" s="1"/>
  <c r="F87" i="12"/>
  <c r="F90" i="12" s="1"/>
  <c r="E32" i="10" s="1"/>
  <c r="H354" i="4"/>
  <c r="H87" i="12"/>
  <c r="H90" i="12" s="1"/>
  <c r="G32" i="10" s="1"/>
  <c r="J354" i="4"/>
  <c r="E87" i="12"/>
  <c r="E90" i="12" s="1"/>
  <c r="D32" i="10" s="1"/>
  <c r="G354" i="4"/>
  <c r="G87" i="12"/>
  <c r="G90" i="12" s="1"/>
  <c r="F32" i="10" s="1"/>
  <c r="I354" i="4"/>
  <c r="F206" i="14"/>
  <c r="E84" i="12"/>
  <c r="E86" i="12" s="1"/>
  <c r="D31" i="10" s="1"/>
  <c r="F84" i="12"/>
  <c r="F86" i="12" s="1"/>
  <c r="E31" i="10" s="1"/>
  <c r="G84" i="12"/>
  <c r="G86" i="12" s="1"/>
  <c r="F31" i="10" s="1"/>
  <c r="H84" i="12"/>
  <c r="H86" i="12" s="1"/>
  <c r="G31" i="10" s="1"/>
  <c r="F80" i="12"/>
  <c r="F83" i="12" s="1"/>
  <c r="E30" i="10" s="1"/>
  <c r="H328" i="4"/>
  <c r="E80" i="12"/>
  <c r="E83" i="12" s="1"/>
  <c r="D30" i="10" s="1"/>
  <c r="G328" i="4"/>
  <c r="H80" i="12"/>
  <c r="H83" i="12" s="1"/>
  <c r="G30" i="10" s="1"/>
  <c r="J328" i="4"/>
  <c r="G80" i="12"/>
  <c r="G83" i="12" s="1"/>
  <c r="F30" i="10" s="1"/>
  <c r="I328" i="4"/>
  <c r="H49" i="4"/>
  <c r="G49" i="4"/>
  <c r="J49" i="4"/>
  <c r="E14" i="12"/>
  <c r="D6" i="10" s="1"/>
  <c r="G75" i="12"/>
  <c r="F28" i="10" s="1"/>
  <c r="H31" i="14"/>
  <c r="F31" i="14"/>
  <c r="H122" i="14"/>
  <c r="H66" i="14"/>
  <c r="G206" i="14"/>
  <c r="G226" i="14" s="1"/>
  <c r="F66" i="14"/>
  <c r="F75" i="12"/>
  <c r="E28" i="10" s="1"/>
  <c r="G66" i="14"/>
  <c r="G31" i="14"/>
  <c r="E122" i="14"/>
  <c r="F122" i="14"/>
  <c r="F31" i="12"/>
  <c r="E8" i="10" s="1"/>
  <c r="H79" i="12"/>
  <c r="G29" i="10" s="1"/>
  <c r="F43" i="12"/>
  <c r="E10" i="10" s="1"/>
  <c r="E79" i="12"/>
  <c r="D29" i="10" s="1"/>
  <c r="E39" i="12"/>
  <c r="D9" i="10" s="1"/>
  <c r="G39" i="12"/>
  <c r="F9" i="10" s="1"/>
  <c r="H43" i="12"/>
  <c r="G10" i="10" s="1"/>
  <c r="O10" i="10" s="1"/>
  <c r="H39" i="12"/>
  <c r="G9" i="10" s="1"/>
  <c r="O9" i="10" s="1"/>
  <c r="G43" i="12"/>
  <c r="F10" i="10" s="1"/>
  <c r="E43" i="12"/>
  <c r="D10" i="10" s="1"/>
  <c r="G65" i="12"/>
  <c r="F21" i="10" s="1"/>
  <c r="G225" i="4"/>
  <c r="E54" i="12"/>
  <c r="E55" i="12" s="1"/>
  <c r="D17" i="10" s="1"/>
  <c r="H265" i="4"/>
  <c r="F66" i="12"/>
  <c r="F67" i="12" s="1"/>
  <c r="E22" i="10" s="1"/>
  <c r="H70" i="12"/>
  <c r="E106" i="12"/>
  <c r="E108" i="12" s="1"/>
  <c r="E111" i="12" s="1"/>
  <c r="G265" i="4"/>
  <c r="E66" i="12"/>
  <c r="E67" i="12" s="1"/>
  <c r="D22" i="10" s="1"/>
  <c r="H51" i="12"/>
  <c r="I233" i="4"/>
  <c r="G56" i="12"/>
  <c r="G57" i="12" s="1"/>
  <c r="F18" i="10" s="1"/>
  <c r="J242" i="4"/>
  <c r="H58" i="12"/>
  <c r="H59" i="12" s="1"/>
  <c r="G19" i="10" s="1"/>
  <c r="H56" i="12"/>
  <c r="H57" i="12" s="1"/>
  <c r="G18" i="10" s="1"/>
  <c r="H259" i="4"/>
  <c r="F62" i="12"/>
  <c r="F65" i="12" s="1"/>
  <c r="E21" i="10" s="1"/>
  <c r="J225" i="4"/>
  <c r="H54" i="12"/>
  <c r="H55" i="12" s="1"/>
  <c r="G17" i="10" s="1"/>
  <c r="H247" i="4"/>
  <c r="F60" i="12"/>
  <c r="F61" i="12" s="1"/>
  <c r="E20" i="10" s="1"/>
  <c r="I199" i="4"/>
  <c r="F12" i="10"/>
  <c r="K336" i="4"/>
  <c r="H233" i="4"/>
  <c r="F56" i="12"/>
  <c r="F57" i="12" s="1"/>
  <c r="E18" i="10" s="1"/>
  <c r="G233" i="4"/>
  <c r="E56" i="12"/>
  <c r="E57" i="12" s="1"/>
  <c r="D18" i="10" s="1"/>
  <c r="E51" i="12"/>
  <c r="H359" i="4"/>
  <c r="F91" i="12"/>
  <c r="F92" i="12" s="1"/>
  <c r="E33" i="10" s="1"/>
  <c r="F51" i="12"/>
  <c r="I225" i="4"/>
  <c r="G54" i="12"/>
  <c r="G55" i="12" s="1"/>
  <c r="F17" i="10" s="1"/>
  <c r="H225" i="4"/>
  <c r="F54" i="12"/>
  <c r="F55" i="12" s="1"/>
  <c r="E17" i="10" s="1"/>
  <c r="J265" i="4"/>
  <c r="H66" i="12"/>
  <c r="H67" i="12" s="1"/>
  <c r="G22" i="10" s="1"/>
  <c r="G242" i="4"/>
  <c r="E58" i="12"/>
  <c r="E59" i="12" s="1"/>
  <c r="D19" i="10" s="1"/>
  <c r="G259" i="4"/>
  <c r="E62" i="12"/>
  <c r="E65" i="12" s="1"/>
  <c r="D21" i="10" s="1"/>
  <c r="I265" i="4"/>
  <c r="G66" i="12"/>
  <c r="G67" i="12" s="1"/>
  <c r="F22" i="10" s="1"/>
  <c r="E70" i="12"/>
  <c r="E73" i="12"/>
  <c r="E75" i="12" s="1"/>
  <c r="D28" i="10" s="1"/>
  <c r="H194" i="4"/>
  <c r="F44" i="12"/>
  <c r="F45" i="12" s="1"/>
  <c r="E11" i="10" s="1"/>
  <c r="G79" i="12"/>
  <c r="F29" i="10" s="1"/>
  <c r="H242" i="4"/>
  <c r="F58" i="12"/>
  <c r="F59" i="12" s="1"/>
  <c r="E19" i="10" s="1"/>
  <c r="G51" i="12"/>
  <c r="I242" i="4"/>
  <c r="G58" i="12"/>
  <c r="G59" i="12" s="1"/>
  <c r="F19" i="10" s="1"/>
  <c r="H73" i="12"/>
  <c r="I359" i="4"/>
  <c r="G91" i="12"/>
  <c r="G92" i="12" s="1"/>
  <c r="F33" i="10" s="1"/>
  <c r="H62" i="12"/>
  <c r="J259" i="4"/>
  <c r="I259" i="4"/>
  <c r="I85" i="12"/>
  <c r="G310" i="4"/>
  <c r="J310" i="4"/>
  <c r="I310" i="4"/>
  <c r="J189" i="4"/>
  <c r="G189" i="4"/>
  <c r="I189" i="4"/>
  <c r="I161" i="4"/>
  <c r="J161" i="4"/>
  <c r="H8" i="7"/>
  <c r="G106" i="6"/>
  <c r="E22" i="11" s="1"/>
  <c r="H106" i="6"/>
  <c r="F106" i="6"/>
  <c r="D22" i="11" s="1"/>
  <c r="P524" i="7"/>
  <c r="K214" i="7"/>
  <c r="K31" i="7"/>
  <c r="K29" i="7"/>
  <c r="L29" i="7" s="1"/>
  <c r="K25" i="7"/>
  <c r="K9" i="7"/>
  <c r="G404" i="7"/>
  <c r="P473" i="7"/>
  <c r="P471" i="7"/>
  <c r="P469" i="7"/>
  <c r="P467" i="7"/>
  <c r="P463" i="7"/>
  <c r="P441" i="7"/>
  <c r="P423" i="7"/>
  <c r="P424" i="7" s="1"/>
  <c r="P416" i="7"/>
  <c r="P417" i="7" s="1"/>
  <c r="P404" i="7"/>
  <c r="P394" i="7"/>
  <c r="P391" i="7"/>
  <c r="P386" i="7"/>
  <c r="P387" i="7" s="1"/>
  <c r="P383" i="7"/>
  <c r="P381" i="7"/>
  <c r="P375" i="7"/>
  <c r="P376" i="7" s="1"/>
  <c r="P370" i="7"/>
  <c r="P371" i="7" s="1"/>
  <c r="P366" i="7"/>
  <c r="P367" i="7" s="1"/>
  <c r="P362" i="7"/>
  <c r="P363" i="7" s="1"/>
  <c r="P358" i="7"/>
  <c r="P352" i="7"/>
  <c r="P343" i="7"/>
  <c r="P325" i="7"/>
  <c r="P307" i="7"/>
  <c r="P293" i="7"/>
  <c r="P291" i="7"/>
  <c r="P288" i="7"/>
  <c r="K288" i="7"/>
  <c r="P284" i="7"/>
  <c r="P285" i="7" s="1"/>
  <c r="P279" i="7"/>
  <c r="P276" i="7"/>
  <c r="P274" i="7"/>
  <c r="P263" i="7"/>
  <c r="P521" i="7" s="1"/>
  <c r="P260" i="7"/>
  <c r="P256" i="7"/>
  <c r="P257" i="7" s="1"/>
  <c r="P252" i="7"/>
  <c r="P253" i="7" s="1"/>
  <c r="P248" i="7"/>
  <c r="P244" i="7"/>
  <c r="P240" i="7"/>
  <c r="P236" i="7"/>
  <c r="P237" i="7" s="1"/>
  <c r="P234" i="7"/>
  <c r="P229" i="7"/>
  <c r="P230" i="7" s="1"/>
  <c r="P227" i="7"/>
  <c r="P222" i="7"/>
  <c r="P220" i="7"/>
  <c r="P214" i="7"/>
  <c r="P207" i="7"/>
  <c r="P198" i="7"/>
  <c r="P194" i="7"/>
  <c r="P178" i="7"/>
  <c r="P167" i="7"/>
  <c r="P163" i="7"/>
  <c r="P160" i="7"/>
  <c r="P156" i="7"/>
  <c r="P157" i="7" s="1"/>
  <c r="P152" i="7"/>
  <c r="P150" i="7"/>
  <c r="P144" i="7"/>
  <c r="P145" i="7" s="1"/>
  <c r="P134" i="7"/>
  <c r="P128" i="7"/>
  <c r="P129" i="7" s="1"/>
  <c r="P123" i="7"/>
  <c r="P119" i="7"/>
  <c r="P113" i="7"/>
  <c r="P114" i="7" s="1"/>
  <c r="P108" i="7"/>
  <c r="P104" i="7"/>
  <c r="P99" i="7"/>
  <c r="P97" i="7"/>
  <c r="P90" i="7"/>
  <c r="P87" i="7"/>
  <c r="P81" i="7"/>
  <c r="P78" i="7"/>
  <c r="P70" i="7"/>
  <c r="P68" i="7"/>
  <c r="P63" i="7"/>
  <c r="P64" i="7" s="1"/>
  <c r="P58" i="7"/>
  <c r="P59" i="7" s="1"/>
  <c r="P35" i="7"/>
  <c r="P36" i="7" s="1"/>
  <c r="P31" i="7"/>
  <c r="P29" i="7"/>
  <c r="P25" i="7"/>
  <c r="P26" i="7" s="1"/>
  <c r="P8" i="7"/>
  <c r="G8" i="7"/>
  <c r="L8" i="7" s="1"/>
  <c r="G409" i="7" l="1"/>
  <c r="L404" i="7"/>
  <c r="F40" i="10"/>
  <c r="H108" i="12"/>
  <c r="H111" i="12" s="1"/>
  <c r="P522" i="7"/>
  <c r="P520" i="7"/>
  <c r="P519" i="7"/>
  <c r="I106" i="6"/>
  <c r="I205" i="4"/>
  <c r="P205" i="4" s="1"/>
  <c r="F53" i="12"/>
  <c r="E16" i="10" s="1"/>
  <c r="G53" i="12"/>
  <c r="F16" i="10" s="1"/>
  <c r="E53" i="12"/>
  <c r="D16" i="10" s="1"/>
  <c r="D23" i="10" s="1"/>
  <c r="L6" i="8" s="1"/>
  <c r="H53" i="12"/>
  <c r="G16" i="10" s="1"/>
  <c r="G205" i="4"/>
  <c r="N205" i="4" s="1"/>
  <c r="H205" i="4"/>
  <c r="O205" i="4" s="1"/>
  <c r="K26" i="7"/>
  <c r="F226" i="14"/>
  <c r="G72" i="12"/>
  <c r="F25" i="10"/>
  <c r="F44" i="10"/>
  <c r="F72" i="12"/>
  <c r="E25" i="10"/>
  <c r="E44" i="10"/>
  <c r="N8" i="10"/>
  <c r="D44" i="10"/>
  <c r="E71" i="12"/>
  <c r="E8" i="12"/>
  <c r="G266" i="4"/>
  <c r="F8" i="12"/>
  <c r="J205" i="4"/>
  <c r="Q205" i="4" s="1"/>
  <c r="J266" i="4"/>
  <c r="P93" i="7"/>
  <c r="P73" i="7"/>
  <c r="P141" i="7"/>
  <c r="G9" i="7"/>
  <c r="L9" i="7" s="1"/>
  <c r="P9" i="7"/>
  <c r="H9" i="7"/>
  <c r="I9" i="7"/>
  <c r="H226" i="14"/>
  <c r="F123" i="14"/>
  <c r="P82" i="7"/>
  <c r="H123" i="14"/>
  <c r="E93" i="12"/>
  <c r="F22" i="11"/>
  <c r="G22" i="11" s="1"/>
  <c r="G123" i="14"/>
  <c r="E123" i="14"/>
  <c r="G50" i="12"/>
  <c r="H50" i="12"/>
  <c r="G93" i="12"/>
  <c r="I266" i="4"/>
  <c r="H266" i="4"/>
  <c r="I183" i="6"/>
  <c r="H71" i="12"/>
  <c r="D34" i="10"/>
  <c r="L8" i="8" s="1"/>
  <c r="F93" i="12"/>
  <c r="H65" i="12"/>
  <c r="H75" i="12"/>
  <c r="I360" i="4"/>
  <c r="J360" i="4"/>
  <c r="H360" i="4"/>
  <c r="G360" i="4"/>
  <c r="P249" i="7"/>
  <c r="K409" i="7"/>
  <c r="K32" i="7"/>
  <c r="P409" i="7"/>
  <c r="P334" i="7"/>
  <c r="P223" i="7"/>
  <c r="P245" i="7"/>
  <c r="P384" i="7"/>
  <c r="P474" i="7"/>
  <c r="P319" i="7"/>
  <c r="P395" i="7"/>
  <c r="P353" i="7"/>
  <c r="P294" i="7"/>
  <c r="P215" i="7"/>
  <c r="P199" i="7"/>
  <c r="P100" i="7"/>
  <c r="P124" i="7"/>
  <c r="P109" i="7"/>
  <c r="P153" i="7"/>
  <c r="P164" i="7"/>
  <c r="P280" i="7"/>
  <c r="P267" i="7"/>
  <c r="P179" i="7"/>
  <c r="P32" i="7"/>
  <c r="L409" i="7" l="1"/>
  <c r="G44" i="10"/>
  <c r="G46" i="10" s="1"/>
  <c r="D46" i="10"/>
  <c r="K8" i="10" s="1"/>
  <c r="L24" i="8"/>
  <c r="L26" i="8" s="1"/>
  <c r="F46" i="10"/>
  <c r="M8" i="10" s="1"/>
  <c r="N24" i="8"/>
  <c r="N26" i="8" s="1"/>
  <c r="E46" i="10"/>
  <c r="L8" i="10" s="1"/>
  <c r="M24" i="8"/>
  <c r="M26" i="8" s="1"/>
  <c r="P475" i="7"/>
  <c r="P523" i="7"/>
  <c r="P528" i="7" s="1"/>
  <c r="H361" i="4"/>
  <c r="J361" i="4"/>
  <c r="G361" i="4"/>
  <c r="I361" i="4"/>
  <c r="G68" i="12"/>
  <c r="G94" i="12" s="1"/>
  <c r="G113" i="12" s="1"/>
  <c r="F68" i="12"/>
  <c r="E68" i="12"/>
  <c r="E227" i="14"/>
  <c r="H93" i="12"/>
  <c r="G28" i="10"/>
  <c r="H72" i="12"/>
  <c r="G25" i="10"/>
  <c r="E50" i="12"/>
  <c r="D5" i="10"/>
  <c r="D14" i="10" s="1"/>
  <c r="L5" i="8" s="1"/>
  <c r="H68" i="12"/>
  <c r="G21" i="10"/>
  <c r="E72" i="12"/>
  <c r="D25" i="10"/>
  <c r="D26" i="10" s="1"/>
  <c r="L7" i="8" s="1"/>
  <c r="F50" i="12"/>
  <c r="E5" i="10"/>
  <c r="K383" i="7"/>
  <c r="K381" i="7"/>
  <c r="G276" i="7"/>
  <c r="K276" i="7"/>
  <c r="J276" i="7"/>
  <c r="I276" i="7"/>
  <c r="H276" i="7"/>
  <c r="H214" i="7"/>
  <c r="I214" i="7"/>
  <c r="J214" i="7"/>
  <c r="G214" i="7"/>
  <c r="L214" i="7" s="1"/>
  <c r="K150" i="7"/>
  <c r="K119" i="7"/>
  <c r="L119" i="7" s="1"/>
  <c r="I394" i="7"/>
  <c r="G156" i="7"/>
  <c r="G157" i="7" s="1"/>
  <c r="G150" i="7"/>
  <c r="H150" i="7"/>
  <c r="J150" i="7"/>
  <c r="G152" i="7"/>
  <c r="H152" i="7"/>
  <c r="I152" i="7"/>
  <c r="J152" i="7"/>
  <c r="K152" i="7"/>
  <c r="L152" i="7" s="1"/>
  <c r="K156" i="7"/>
  <c r="J156" i="7"/>
  <c r="J157" i="7" s="1"/>
  <c r="I157" i="7"/>
  <c r="H156" i="7"/>
  <c r="H157" i="7" s="1"/>
  <c r="H473" i="7"/>
  <c r="H471" i="7"/>
  <c r="H469" i="7"/>
  <c r="H467" i="7"/>
  <c r="H463" i="7"/>
  <c r="H441" i="7"/>
  <c r="H423" i="7"/>
  <c r="H424" i="7" s="1"/>
  <c r="H417" i="7"/>
  <c r="H404" i="7"/>
  <c r="H409" i="7" s="1"/>
  <c r="H394" i="7"/>
  <c r="H391" i="7"/>
  <c r="H386" i="7"/>
  <c r="H387" i="7" s="1"/>
  <c r="H381" i="7"/>
  <c r="H383" i="7"/>
  <c r="H375" i="7"/>
  <c r="H376" i="7" s="1"/>
  <c r="H370" i="7"/>
  <c r="H371" i="7" s="1"/>
  <c r="I371" i="7"/>
  <c r="J370" i="7"/>
  <c r="J371" i="7" s="1"/>
  <c r="G370" i="7"/>
  <c r="G366" i="7"/>
  <c r="G367" i="7" s="1"/>
  <c r="H366" i="7"/>
  <c r="H367" i="7" s="1"/>
  <c r="H362" i="7"/>
  <c r="H363" i="7" s="1"/>
  <c r="I363" i="7"/>
  <c r="J362" i="7"/>
  <c r="J363" i="7" s="1"/>
  <c r="K362" i="7"/>
  <c r="G358" i="7"/>
  <c r="H358" i="7"/>
  <c r="H352" i="7"/>
  <c r="H353" i="7" s="1"/>
  <c r="H325" i="7"/>
  <c r="H178" i="7"/>
  <c r="H167" i="7"/>
  <c r="H163" i="7"/>
  <c r="H160" i="7"/>
  <c r="H144" i="7"/>
  <c r="H145" i="7" s="1"/>
  <c r="H123" i="7"/>
  <c r="H119" i="7"/>
  <c r="H291" i="7"/>
  <c r="H288" i="7"/>
  <c r="H284" i="7"/>
  <c r="H285" i="7" s="1"/>
  <c r="H279" i="7"/>
  <c r="H274" i="7"/>
  <c r="H263" i="7"/>
  <c r="H521" i="7" s="1"/>
  <c r="H307" i="7"/>
  <c r="H293" i="7"/>
  <c r="H260" i="7"/>
  <c r="H256" i="7"/>
  <c r="H257" i="7" s="1"/>
  <c r="H252" i="7"/>
  <c r="H253" i="7" s="1"/>
  <c r="H248" i="7"/>
  <c r="G240" i="7"/>
  <c r="H244" i="7"/>
  <c r="H240" i="7"/>
  <c r="H236" i="7"/>
  <c r="H237" i="7" s="1"/>
  <c r="H234" i="7"/>
  <c r="H229" i="7"/>
  <c r="H230" i="7" s="1"/>
  <c r="H222" i="7"/>
  <c r="H220" i="7"/>
  <c r="H207" i="7"/>
  <c r="H198" i="7"/>
  <c r="H134" i="7"/>
  <c r="H141" i="7" s="1"/>
  <c r="H113" i="7"/>
  <c r="H114" i="7" s="1"/>
  <c r="I108" i="7"/>
  <c r="J108" i="7"/>
  <c r="H104" i="7"/>
  <c r="G108" i="7"/>
  <c r="L108" i="7" s="1"/>
  <c r="H99" i="7"/>
  <c r="H97" i="7"/>
  <c r="H90" i="7"/>
  <c r="H87" i="7"/>
  <c r="H81" i="7"/>
  <c r="H78" i="7"/>
  <c r="O24" i="8" l="1"/>
  <c r="O26" i="8" s="1"/>
  <c r="K363" i="7"/>
  <c r="L156" i="7"/>
  <c r="L150" i="7"/>
  <c r="L276" i="7"/>
  <c r="I417" i="4"/>
  <c r="L9" i="8"/>
  <c r="L11" i="8" s="1"/>
  <c r="H522" i="7"/>
  <c r="F94" i="12"/>
  <c r="H94" i="12"/>
  <c r="E94" i="12"/>
  <c r="D35" i="10"/>
  <c r="H93" i="7"/>
  <c r="H82" i="7"/>
  <c r="H249" i="7"/>
  <c r="K384" i="7"/>
  <c r="H280" i="7"/>
  <c r="K157" i="7"/>
  <c r="L157" i="7" s="1"/>
  <c r="H384" i="7"/>
  <c r="H474" i="7"/>
  <c r="H395" i="7"/>
  <c r="H334" i="7"/>
  <c r="H179" i="7"/>
  <c r="H267" i="7"/>
  <c r="H124" i="7"/>
  <c r="H153" i="7"/>
  <c r="H164" i="7"/>
  <c r="H294" i="7"/>
  <c r="H319" i="7"/>
  <c r="H245" i="7"/>
  <c r="H223" i="7"/>
  <c r="H215" i="7"/>
  <c r="H199" i="7"/>
  <c r="H109" i="7"/>
  <c r="H100" i="7"/>
  <c r="H70" i="7"/>
  <c r="H68" i="7"/>
  <c r="H63" i="7"/>
  <c r="H64" i="7" s="1"/>
  <c r="H58" i="7"/>
  <c r="H59" i="7" s="1"/>
  <c r="H35" i="7"/>
  <c r="H36" i="7" s="1"/>
  <c r="I36" i="7"/>
  <c r="H31" i="7"/>
  <c r="H25" i="7"/>
  <c r="O8" i="10" l="1"/>
  <c r="O14" i="10" s="1"/>
  <c r="H519" i="7"/>
  <c r="H520" i="7"/>
  <c r="H73" i="7"/>
  <c r="H26" i="7"/>
  <c r="H32" i="7"/>
  <c r="H523" i="7" l="1"/>
  <c r="H475" i="7"/>
  <c r="K358" i="7" l="1"/>
  <c r="L358" i="7" s="1"/>
  <c r="I358" i="7"/>
  <c r="J358" i="7"/>
  <c r="B18" i="9" l="1"/>
  <c r="B8" i="12" l="1"/>
  <c r="B14" i="12"/>
  <c r="B22" i="12"/>
  <c r="B31" i="12"/>
  <c r="B39" i="12"/>
  <c r="B43" i="12"/>
  <c r="B45" i="12"/>
  <c r="B47" i="12"/>
  <c r="B50" i="12"/>
  <c r="B53" i="12"/>
  <c r="B55" i="12"/>
  <c r="B57" i="12"/>
  <c r="B59" i="12"/>
  <c r="B61" i="12"/>
  <c r="B65" i="12"/>
  <c r="B67" i="12"/>
  <c r="B68" i="12"/>
  <c r="B71" i="12"/>
  <c r="B72" i="12"/>
  <c r="B75" i="12"/>
  <c r="B79" i="12"/>
  <c r="B83" i="12"/>
  <c r="B86" i="12"/>
  <c r="B90" i="12"/>
  <c r="B93" i="12"/>
  <c r="B2" i="11"/>
  <c r="B13" i="11"/>
  <c r="B23" i="11"/>
  <c r="B28" i="11"/>
  <c r="B16" i="11"/>
  <c r="B17" i="11"/>
  <c r="B31" i="11"/>
  <c r="B32" i="11"/>
  <c r="B36" i="11"/>
  <c r="C60" i="12" l="1"/>
  <c r="C62" i="12"/>
  <c r="C63" i="12"/>
  <c r="D64" i="12"/>
  <c r="I64" i="12" s="1"/>
  <c r="F141" i="4"/>
  <c r="F142" i="4" s="1"/>
  <c r="C81" i="13" l="1"/>
  <c r="G81" i="13"/>
  <c r="B81" i="13"/>
  <c r="B80" i="13"/>
  <c r="C64" i="12"/>
  <c r="C58" i="12"/>
  <c r="B6" i="10"/>
  <c r="D158" i="14"/>
  <c r="I158" i="14" s="1"/>
  <c r="B158" i="14"/>
  <c r="B157" i="14"/>
  <c r="C130" i="14"/>
  <c r="D130" i="14"/>
  <c r="I130" i="14" s="1"/>
  <c r="B130" i="14"/>
  <c r="C83" i="14"/>
  <c r="B83" i="14"/>
  <c r="B82" i="14"/>
  <c r="I31" i="7" l="1"/>
  <c r="J524" i="7" l="1"/>
  <c r="J528" i="7" s="1"/>
  <c r="J352" i="7"/>
  <c r="I352" i="7"/>
  <c r="D83" i="14" l="1"/>
  <c r="I83" i="14" s="1"/>
  <c r="J343" i="7"/>
  <c r="K343" i="7"/>
  <c r="G343" i="7"/>
  <c r="I244" i="7"/>
  <c r="J244" i="7"/>
  <c r="G244" i="7"/>
  <c r="L244" i="7" s="1"/>
  <c r="I222" i="7"/>
  <c r="J222" i="7"/>
  <c r="K222" i="7"/>
  <c r="G222" i="7"/>
  <c r="I123" i="7"/>
  <c r="J123" i="7"/>
  <c r="K123" i="7"/>
  <c r="G123" i="7"/>
  <c r="B129" i="13"/>
  <c r="B244" i="14"/>
  <c r="F380" i="4"/>
  <c r="L343" i="7" l="1"/>
  <c r="L123" i="7"/>
  <c r="L222" i="7"/>
  <c r="D244" i="14"/>
  <c r="I244" i="14" s="1"/>
  <c r="K380" i="4"/>
  <c r="K258" i="4"/>
  <c r="K257" i="4"/>
  <c r="F392" i="4" l="1"/>
  <c r="K392" i="4" s="1"/>
  <c r="F393" i="4"/>
  <c r="K393" i="4" s="1"/>
  <c r="F394" i="4"/>
  <c r="K394" i="4" s="1"/>
  <c r="F391" i="4"/>
  <c r="F383" i="4"/>
  <c r="K383" i="4" s="1"/>
  <c r="F382" i="4"/>
  <c r="K382" i="4" s="1"/>
  <c r="F352" i="4"/>
  <c r="F332" i="4"/>
  <c r="F331" i="4"/>
  <c r="F325" i="4"/>
  <c r="F326" i="4"/>
  <c r="F321" i="4"/>
  <c r="F320" i="4"/>
  <c r="F318" i="4"/>
  <c r="F317" i="4"/>
  <c r="F308" i="4"/>
  <c r="F307" i="4"/>
  <c r="F303" i="4"/>
  <c r="F302" i="4"/>
  <c r="F300" i="4"/>
  <c r="F286" i="4"/>
  <c r="F288" i="4" s="1"/>
  <c r="F281" i="4"/>
  <c r="F282" i="4"/>
  <c r="F280" i="4"/>
  <c r="C173" i="14"/>
  <c r="F273" i="4"/>
  <c r="F274" i="4" s="1"/>
  <c r="F270" i="4"/>
  <c r="F271" i="4" s="1"/>
  <c r="F263" i="4"/>
  <c r="F262" i="4"/>
  <c r="F275" i="4" l="1"/>
  <c r="F400" i="4"/>
  <c r="D107" i="12" s="1"/>
  <c r="I107" i="12" s="1"/>
  <c r="F276" i="4"/>
  <c r="F284" i="4"/>
  <c r="F289" i="4" s="1"/>
  <c r="F350" i="4"/>
  <c r="F264" i="4"/>
  <c r="F265" i="4" s="1"/>
  <c r="F298" i="4"/>
  <c r="F389" i="4"/>
  <c r="F333" i="4"/>
  <c r="F337" i="4" s="1"/>
  <c r="F305" i="4"/>
  <c r="F245" i="4"/>
  <c r="F239" i="4"/>
  <c r="F238" i="4"/>
  <c r="F237" i="4"/>
  <c r="F236" i="4"/>
  <c r="F229" i="4"/>
  <c r="F228" i="4"/>
  <c r="F223" i="4"/>
  <c r="F222" i="4"/>
  <c r="F203" i="4"/>
  <c r="F184" i="4"/>
  <c r="F185" i="4"/>
  <c r="F186" i="4"/>
  <c r="F187" i="4"/>
  <c r="F183" i="4"/>
  <c r="F179" i="4"/>
  <c r="F180" i="4"/>
  <c r="F181" i="4"/>
  <c r="F182" i="4"/>
  <c r="F174" i="4"/>
  <c r="F175" i="4"/>
  <c r="F176" i="4"/>
  <c r="F173" i="4"/>
  <c r="F165" i="4"/>
  <c r="F166" i="4"/>
  <c r="D95" i="14" s="1"/>
  <c r="I95" i="14" s="1"/>
  <c r="F167" i="4"/>
  <c r="F168" i="4"/>
  <c r="F169" i="4"/>
  <c r="K169" i="4" s="1"/>
  <c r="F164" i="4"/>
  <c r="F158" i="4"/>
  <c r="F160" i="4" s="1"/>
  <c r="F154" i="4"/>
  <c r="F155" i="4"/>
  <c r="F153" i="4"/>
  <c r="F144" i="4"/>
  <c r="F147" i="4" s="1"/>
  <c r="F126" i="4"/>
  <c r="F127" i="4"/>
  <c r="F128" i="4"/>
  <c r="F129" i="4"/>
  <c r="F130" i="4"/>
  <c r="F131" i="4"/>
  <c r="F125" i="4"/>
  <c r="D48" i="12" l="1"/>
  <c r="F204" i="4"/>
  <c r="K400" i="4"/>
  <c r="F401" i="4"/>
  <c r="F415" i="4" s="1"/>
  <c r="D106" i="12"/>
  <c r="F232" i="4"/>
  <c r="F171" i="4"/>
  <c r="F132" i="4"/>
  <c r="F156" i="4"/>
  <c r="F241" i="4"/>
  <c r="F242" i="4" s="1"/>
  <c r="K193" i="4"/>
  <c r="F215" i="4"/>
  <c r="F219" i="4" s="1"/>
  <c r="K197" i="4"/>
  <c r="K198" i="4"/>
  <c r="F188" i="4"/>
  <c r="F120" i="4"/>
  <c r="F121" i="4" s="1"/>
  <c r="F117" i="4"/>
  <c r="F118" i="4" s="1"/>
  <c r="F114" i="4"/>
  <c r="F115" i="4" s="1"/>
  <c r="F103" i="4"/>
  <c r="F104" i="4"/>
  <c r="F100" i="4"/>
  <c r="F101" i="4" s="1"/>
  <c r="F97" i="4"/>
  <c r="F98" i="4" s="1"/>
  <c r="F94" i="4"/>
  <c r="F95" i="4" s="1"/>
  <c r="F90" i="4"/>
  <c r="K90" i="4" s="1"/>
  <c r="F91" i="4"/>
  <c r="K91" i="4" s="1"/>
  <c r="F89" i="4"/>
  <c r="K89" i="4" s="1"/>
  <c r="F82" i="4"/>
  <c r="F68" i="4"/>
  <c r="K401" i="4" l="1"/>
  <c r="D108" i="12"/>
  <c r="I106" i="12"/>
  <c r="K415" i="4"/>
  <c r="F161" i="4"/>
  <c r="F92" i="4"/>
  <c r="F83" i="4"/>
  <c r="F73" i="4"/>
  <c r="F72" i="4"/>
  <c r="F69" i="4"/>
  <c r="F70" i="4" s="1"/>
  <c r="F64" i="4"/>
  <c r="F65" i="4" s="1"/>
  <c r="C44" i="10" l="1"/>
  <c r="K24" i="8" s="1"/>
  <c r="D111" i="12"/>
  <c r="I111" i="12" s="1"/>
  <c r="I108" i="12"/>
  <c r="F75" i="4"/>
  <c r="F80" i="4"/>
  <c r="F60" i="4"/>
  <c r="K60" i="4" s="1"/>
  <c r="F59" i="4"/>
  <c r="F58" i="4"/>
  <c r="F57" i="4"/>
  <c r="F53" i="4"/>
  <c r="F54" i="4"/>
  <c r="C46" i="10" l="1"/>
  <c r="H46" i="10" s="1"/>
  <c r="F62" i="4"/>
  <c r="F48" i="4"/>
  <c r="F44" i="4"/>
  <c r="F45" i="4" s="1"/>
  <c r="F41" i="4"/>
  <c r="F42" i="4" s="1"/>
  <c r="F38" i="4"/>
  <c r="F39" i="4" s="1"/>
  <c r="F35" i="4"/>
  <c r="F36" i="4" s="1"/>
  <c r="F29" i="4"/>
  <c r="F28" i="4"/>
  <c r="F19" i="4"/>
  <c r="F18" i="4"/>
  <c r="F17" i="4"/>
  <c r="F12" i="4"/>
  <c r="F11" i="4"/>
  <c r="F10" i="4"/>
  <c r="I6" i="14"/>
  <c r="P24" i="8" l="1"/>
  <c r="F14" i="4"/>
  <c r="D4" i="12" s="1"/>
  <c r="F20" i="4"/>
  <c r="B5" i="14"/>
  <c r="B50" i="13"/>
  <c r="B29" i="10"/>
  <c r="K14" i="4" l="1"/>
  <c r="C2" i="11"/>
  <c r="B2" i="9"/>
  <c r="B20" i="9"/>
  <c r="B26" i="9"/>
  <c r="B24" i="9"/>
  <c r="B17" i="9"/>
  <c r="B16" i="9"/>
  <c r="B15" i="9"/>
  <c r="B14" i="9"/>
  <c r="B8" i="9"/>
  <c r="B13" i="9"/>
  <c r="B12" i="9"/>
  <c r="B11" i="9"/>
  <c r="B35" i="10"/>
  <c r="B33" i="10"/>
  <c r="B32" i="10"/>
  <c r="B31" i="10"/>
  <c r="B30" i="10"/>
  <c r="B25" i="10"/>
  <c r="B34" i="10"/>
  <c r="B27" i="10"/>
  <c r="B26" i="10"/>
  <c r="B24" i="10"/>
  <c r="B23" i="10"/>
  <c r="B22" i="10"/>
  <c r="B21" i="10"/>
  <c r="B20" i="10"/>
  <c r="B19" i="10"/>
  <c r="B18" i="10"/>
  <c r="B17" i="10"/>
  <c r="B16" i="10"/>
  <c r="B15" i="10"/>
  <c r="B4" i="10"/>
  <c r="B14" i="10"/>
  <c r="B13" i="10"/>
  <c r="B12" i="10"/>
  <c r="B11" i="10"/>
  <c r="B10" i="10"/>
  <c r="B9" i="10"/>
  <c r="B8" i="10"/>
  <c r="B7" i="10"/>
  <c r="D24" i="11" l="1"/>
  <c r="C30" i="11"/>
  <c r="C15" i="11"/>
  <c r="C27" i="11"/>
  <c r="C26" i="11"/>
  <c r="C25" i="11"/>
  <c r="C24" i="11"/>
  <c r="C20" i="11"/>
  <c r="C19" i="11"/>
  <c r="C18" i="11"/>
  <c r="C12" i="11" l="1"/>
  <c r="C11" i="11"/>
  <c r="C10" i="11"/>
  <c r="C9" i="11"/>
  <c r="C8" i="11"/>
  <c r="C7" i="11"/>
  <c r="C6" i="11"/>
  <c r="C5" i="11"/>
  <c r="C106" i="12"/>
  <c r="C74" i="12"/>
  <c r="C73" i="12"/>
  <c r="C70" i="12"/>
  <c r="C69" i="12"/>
  <c r="C48" i="12"/>
  <c r="C42" i="12"/>
  <c r="C41" i="12"/>
  <c r="C40" i="12"/>
  <c r="C38" i="12"/>
  <c r="C37" i="12"/>
  <c r="C36" i="12"/>
  <c r="C35" i="12"/>
  <c r="C34" i="12"/>
  <c r="C33" i="12"/>
  <c r="C32" i="12"/>
  <c r="C30" i="12"/>
  <c r="C29" i="12"/>
  <c r="C27" i="12"/>
  <c r="C26" i="12"/>
  <c r="C25" i="12"/>
  <c r="C21" i="12"/>
  <c r="C20" i="12"/>
  <c r="C19" i="12"/>
  <c r="C18" i="12"/>
  <c r="C17" i="12"/>
  <c r="C16" i="12"/>
  <c r="C15" i="12"/>
  <c r="C13" i="12"/>
  <c r="C12" i="12"/>
  <c r="C11" i="12"/>
  <c r="C10" i="12"/>
  <c r="C9" i="12"/>
  <c r="C7" i="12"/>
  <c r="C6" i="12"/>
  <c r="C91" i="12"/>
  <c r="C89" i="12"/>
  <c r="C88" i="12"/>
  <c r="C87" i="12"/>
  <c r="C84" i="12"/>
  <c r="C82" i="12"/>
  <c r="C81" i="12"/>
  <c r="C80" i="12"/>
  <c r="C78" i="12"/>
  <c r="C77" i="12"/>
  <c r="C76" i="12"/>
  <c r="F224" i="4"/>
  <c r="D54" i="12" s="1"/>
  <c r="D55" i="12" s="1"/>
  <c r="C17" i="10" s="1"/>
  <c r="C54" i="12"/>
  <c r="B108" i="13" l="1"/>
  <c r="B56" i="13"/>
  <c r="B55" i="13"/>
  <c r="B101" i="13"/>
  <c r="B77" i="13"/>
  <c r="B131" i="13"/>
  <c r="B132" i="13"/>
  <c r="B138" i="13"/>
  <c r="B139" i="13"/>
  <c r="B140" i="13"/>
  <c r="B141" i="13"/>
  <c r="B128" i="13"/>
  <c r="C170" i="6"/>
  <c r="C47" i="11" l="1"/>
  <c r="B29" i="9"/>
  <c r="B127" i="13"/>
  <c r="B105" i="13"/>
  <c r="C105" i="13"/>
  <c r="B106" i="13"/>
  <c r="C106" i="13"/>
  <c r="B104" i="13"/>
  <c r="B103" i="13"/>
  <c r="C54" i="13"/>
  <c r="B54" i="13"/>
  <c r="B53" i="13"/>
  <c r="C79" i="13"/>
  <c r="G79" i="13"/>
  <c r="C80" i="13"/>
  <c r="G80" i="13"/>
  <c r="C82" i="13"/>
  <c r="G82" i="13"/>
  <c r="C83" i="13"/>
  <c r="G83" i="13"/>
  <c r="C84" i="13"/>
  <c r="G84" i="13"/>
  <c r="C85" i="13"/>
  <c r="G85" i="13"/>
  <c r="C86" i="13"/>
  <c r="G86" i="13"/>
  <c r="C87" i="13"/>
  <c r="G87" i="13"/>
  <c r="C88" i="13"/>
  <c r="G88" i="13"/>
  <c r="C89" i="13"/>
  <c r="G89" i="13"/>
  <c r="C90" i="13"/>
  <c r="G90" i="13"/>
  <c r="C91" i="13"/>
  <c r="G91" i="13"/>
  <c r="C92" i="13"/>
  <c r="G92" i="13"/>
  <c r="C93" i="13"/>
  <c r="G93" i="13"/>
  <c r="C98" i="13"/>
  <c r="C99" i="13"/>
  <c r="G99" i="13"/>
  <c r="C100" i="13"/>
  <c r="G100" i="13"/>
  <c r="B79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8" i="13"/>
  <c r="B99" i="13"/>
  <c r="B100" i="13"/>
  <c r="B78" i="13"/>
  <c r="B58" i="13"/>
  <c r="B60" i="13"/>
  <c r="C60" i="13"/>
  <c r="B61" i="13"/>
  <c r="C61" i="13"/>
  <c r="B62" i="13"/>
  <c r="C62" i="13"/>
  <c r="B63" i="13"/>
  <c r="C63" i="13"/>
  <c r="B64" i="13"/>
  <c r="C64" i="13"/>
  <c r="B65" i="13"/>
  <c r="C65" i="13"/>
  <c r="B66" i="13"/>
  <c r="C66" i="13"/>
  <c r="B67" i="13"/>
  <c r="C67" i="13"/>
  <c r="B68" i="13"/>
  <c r="C68" i="13"/>
  <c r="B69" i="13"/>
  <c r="C69" i="13"/>
  <c r="B70" i="13"/>
  <c r="C70" i="13"/>
  <c r="B71" i="13"/>
  <c r="C71" i="13"/>
  <c r="B72" i="13"/>
  <c r="C72" i="13"/>
  <c r="B73" i="13"/>
  <c r="C73" i="13"/>
  <c r="B74" i="13"/>
  <c r="C74" i="13"/>
  <c r="C59" i="13"/>
  <c r="B59" i="13"/>
  <c r="C41" i="13"/>
  <c r="C42" i="13"/>
  <c r="C43" i="13"/>
  <c r="C44" i="13"/>
  <c r="C45" i="13"/>
  <c r="C46" i="13"/>
  <c r="C47" i="13"/>
  <c r="C48" i="13"/>
  <c r="C49" i="13"/>
  <c r="B42" i="13"/>
  <c r="B43" i="13"/>
  <c r="B44" i="13"/>
  <c r="B45" i="13"/>
  <c r="B46" i="13"/>
  <c r="B47" i="13"/>
  <c r="B48" i="13"/>
  <c r="B49" i="13"/>
  <c r="C36" i="13"/>
  <c r="C37" i="13"/>
  <c r="C38" i="13"/>
  <c r="C39" i="13"/>
  <c r="C40" i="13"/>
  <c r="B37" i="13"/>
  <c r="B38" i="13"/>
  <c r="B39" i="13"/>
  <c r="B40" i="13"/>
  <c r="B41" i="13"/>
  <c r="C6" i="13"/>
  <c r="G6" i="13"/>
  <c r="C7" i="13"/>
  <c r="C8" i="13"/>
  <c r="C9" i="13"/>
  <c r="C10" i="13"/>
  <c r="C11" i="13"/>
  <c r="C12" i="13"/>
  <c r="C13" i="13"/>
  <c r="C14" i="13"/>
  <c r="C15" i="13"/>
  <c r="G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6" i="13"/>
  <c r="B6" i="14"/>
  <c r="G118" i="13"/>
  <c r="G19" i="13" l="1"/>
  <c r="G18" i="13"/>
  <c r="G17" i="13"/>
  <c r="G1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4" i="13"/>
  <c r="G13" i="13"/>
  <c r="G12" i="13"/>
  <c r="G11" i="13"/>
  <c r="G10" i="13"/>
  <c r="G9" i="13"/>
  <c r="G8" i="13"/>
  <c r="G7" i="13"/>
  <c r="G40" i="13"/>
  <c r="G39" i="13"/>
  <c r="G38" i="13"/>
  <c r="G37" i="13"/>
  <c r="G36" i="13"/>
  <c r="G49" i="13"/>
  <c r="G48" i="13"/>
  <c r="G47" i="13"/>
  <c r="G46" i="13"/>
  <c r="G45" i="13"/>
  <c r="G44" i="13"/>
  <c r="G43" i="13"/>
  <c r="G42" i="13"/>
  <c r="G41" i="13"/>
  <c r="D107" i="13"/>
  <c r="D108" i="13" s="1"/>
  <c r="D55" i="13"/>
  <c r="D56" i="13" s="1"/>
  <c r="E107" i="13"/>
  <c r="E108" i="13" s="1"/>
  <c r="G105" i="13"/>
  <c r="G106" i="13"/>
  <c r="G54" i="13"/>
  <c r="F107" i="13"/>
  <c r="F108" i="13" s="1"/>
  <c r="F55" i="13"/>
  <c r="F56" i="13" s="1"/>
  <c r="E55" i="13"/>
  <c r="E56" i="13" s="1"/>
  <c r="E109" i="13" l="1"/>
  <c r="D109" i="13"/>
  <c r="F109" i="13"/>
  <c r="G108" i="13"/>
  <c r="G101" i="13"/>
  <c r="G56" i="13"/>
  <c r="G55" i="13"/>
  <c r="G107" i="13"/>
  <c r="G77" i="13"/>
  <c r="G50" i="13"/>
  <c r="G102" i="13" l="1"/>
  <c r="G109" i="13" l="1"/>
  <c r="B4" i="14" l="1"/>
  <c r="B222" i="14"/>
  <c r="B223" i="14"/>
  <c r="B224" i="14"/>
  <c r="B212" i="14"/>
  <c r="B207" i="14"/>
  <c r="B195" i="14"/>
  <c r="B180" i="14"/>
  <c r="B172" i="14"/>
  <c r="B166" i="14"/>
  <c r="B154" i="14"/>
  <c r="B151" i="14"/>
  <c r="B144" i="14"/>
  <c r="B138" i="14"/>
  <c r="B134" i="14"/>
  <c r="B125" i="14"/>
  <c r="B120" i="14"/>
  <c r="B117" i="14"/>
  <c r="B114" i="14"/>
  <c r="B92" i="14"/>
  <c r="B67" i="14"/>
  <c r="B52" i="14"/>
  <c r="B32" i="14"/>
  <c r="B25" i="14"/>
  <c r="C253" i="14"/>
  <c r="D253" i="14"/>
  <c r="I253" i="14" s="1"/>
  <c r="C254" i="14"/>
  <c r="D254" i="14"/>
  <c r="I254" i="14" s="1"/>
  <c r="C255" i="14"/>
  <c r="D255" i="14"/>
  <c r="I255" i="14" s="1"/>
  <c r="C256" i="14"/>
  <c r="D256" i="14"/>
  <c r="I256" i="14" s="1"/>
  <c r="B254" i="14"/>
  <c r="B255" i="14"/>
  <c r="B256" i="14"/>
  <c r="B253" i="14"/>
  <c r="B246" i="14"/>
  <c r="C246" i="14"/>
  <c r="D246" i="14"/>
  <c r="I246" i="14" s="1"/>
  <c r="B247" i="14"/>
  <c r="C247" i="14"/>
  <c r="D247" i="14"/>
  <c r="I247" i="14" s="1"/>
  <c r="C243" i="14"/>
  <c r="D243" i="14"/>
  <c r="B243" i="14"/>
  <c r="B24" i="14"/>
  <c r="B31" i="14"/>
  <c r="B51" i="14"/>
  <c r="B66" i="14"/>
  <c r="B91" i="14"/>
  <c r="B113" i="14"/>
  <c r="B116" i="14"/>
  <c r="B119" i="14"/>
  <c r="B122" i="14"/>
  <c r="B123" i="14"/>
  <c r="B133" i="14"/>
  <c r="B164" i="14"/>
  <c r="C26" i="14"/>
  <c r="D262" i="14" l="1"/>
  <c r="D274" i="14" s="1"/>
  <c r="I274" i="14" s="1"/>
  <c r="I243" i="14"/>
  <c r="B226" i="14"/>
  <c r="B211" i="14"/>
  <c r="B206" i="14"/>
  <c r="B194" i="14"/>
  <c r="B179" i="14"/>
  <c r="B169" i="14"/>
  <c r="B171" i="14"/>
  <c r="B165" i="14"/>
  <c r="B124" i="14"/>
  <c r="C224" i="14"/>
  <c r="D224" i="14"/>
  <c r="D225" i="14" s="1"/>
  <c r="C221" i="14"/>
  <c r="D221" i="14"/>
  <c r="I221" i="14" s="1"/>
  <c r="B221" i="14"/>
  <c r="C215" i="14"/>
  <c r="D215" i="14"/>
  <c r="I215" i="14" s="1"/>
  <c r="C216" i="14"/>
  <c r="D216" i="14"/>
  <c r="I216" i="14" s="1"/>
  <c r="C217" i="14"/>
  <c r="D217" i="14"/>
  <c r="I217" i="14" s="1"/>
  <c r="C218" i="14"/>
  <c r="D218" i="14"/>
  <c r="I218" i="14" s="1"/>
  <c r="C219" i="14"/>
  <c r="D219" i="14"/>
  <c r="I219" i="14" s="1"/>
  <c r="B216" i="14"/>
  <c r="B217" i="14"/>
  <c r="B218" i="14"/>
  <c r="B219" i="14"/>
  <c r="B215" i="14"/>
  <c r="C213" i="14"/>
  <c r="D213" i="14"/>
  <c r="I213" i="14" s="1"/>
  <c r="C214" i="14"/>
  <c r="D214" i="14"/>
  <c r="I214" i="14" s="1"/>
  <c r="B213" i="14"/>
  <c r="B214" i="14"/>
  <c r="C208" i="14"/>
  <c r="D208" i="14"/>
  <c r="C209" i="14"/>
  <c r="D209" i="14"/>
  <c r="I209" i="14" s="1"/>
  <c r="B209" i="14"/>
  <c r="B208" i="14"/>
  <c r="B205" i="14"/>
  <c r="C204" i="14"/>
  <c r="D204" i="14"/>
  <c r="I204" i="14" s="1"/>
  <c r="C205" i="14"/>
  <c r="D205" i="14"/>
  <c r="I205" i="14" s="1"/>
  <c r="B204" i="14"/>
  <c r="C198" i="14"/>
  <c r="D198" i="14"/>
  <c r="I198" i="14" s="1"/>
  <c r="C199" i="14"/>
  <c r="D199" i="14"/>
  <c r="I199" i="14" s="1"/>
  <c r="C200" i="14"/>
  <c r="D200" i="14"/>
  <c r="I200" i="14" s="1"/>
  <c r="C201" i="14"/>
  <c r="D201" i="14"/>
  <c r="I201" i="14" s="1"/>
  <c r="C202" i="14"/>
  <c r="D202" i="14"/>
  <c r="I202" i="14" s="1"/>
  <c r="C203" i="14"/>
  <c r="D203" i="14"/>
  <c r="I203" i="14" s="1"/>
  <c r="B199" i="14"/>
  <c r="B200" i="14"/>
  <c r="B201" i="14"/>
  <c r="B202" i="14"/>
  <c r="B203" i="14"/>
  <c r="B198" i="14"/>
  <c r="C196" i="14"/>
  <c r="D196" i="14"/>
  <c r="I196" i="14" s="1"/>
  <c r="C197" i="14"/>
  <c r="D197" i="14"/>
  <c r="I197" i="14" s="1"/>
  <c r="B196" i="14"/>
  <c r="B197" i="14"/>
  <c r="C192" i="14"/>
  <c r="D192" i="14"/>
  <c r="I192" i="14" s="1"/>
  <c r="C193" i="14"/>
  <c r="D193" i="14"/>
  <c r="I193" i="14" s="1"/>
  <c r="B193" i="14"/>
  <c r="B192" i="14"/>
  <c r="C187" i="14"/>
  <c r="D187" i="14"/>
  <c r="I187" i="14" s="1"/>
  <c r="C188" i="14"/>
  <c r="D188" i="14"/>
  <c r="I188" i="14" s="1"/>
  <c r="C189" i="14"/>
  <c r="D189" i="14"/>
  <c r="I189" i="14" s="1"/>
  <c r="C190" i="14"/>
  <c r="D190" i="14"/>
  <c r="I190" i="14" s="1"/>
  <c r="B188" i="14"/>
  <c r="B189" i="14"/>
  <c r="B190" i="14"/>
  <c r="B187" i="14"/>
  <c r="C181" i="14"/>
  <c r="D181" i="14"/>
  <c r="C182" i="14"/>
  <c r="D182" i="14"/>
  <c r="I182" i="14" s="1"/>
  <c r="B182" i="14"/>
  <c r="B181" i="14"/>
  <c r="C177" i="14"/>
  <c r="D177" i="14"/>
  <c r="I177" i="14" s="1"/>
  <c r="B177" i="14"/>
  <c r="D173" i="14"/>
  <c r="C174" i="14"/>
  <c r="D174" i="14"/>
  <c r="I174" i="14" s="1"/>
  <c r="C175" i="14"/>
  <c r="D175" i="14"/>
  <c r="I175" i="14" s="1"/>
  <c r="B173" i="14"/>
  <c r="B174" i="14"/>
  <c r="B175" i="14"/>
  <c r="B168" i="14"/>
  <c r="B170" i="14"/>
  <c r="C168" i="14"/>
  <c r="D168" i="14"/>
  <c r="B167" i="14"/>
  <c r="C167" i="14"/>
  <c r="D167" i="14"/>
  <c r="B163" i="14"/>
  <c r="B159" i="14"/>
  <c r="B153" i="14"/>
  <c r="B150" i="14"/>
  <c r="B143" i="14"/>
  <c r="B137" i="14"/>
  <c r="C161" i="14"/>
  <c r="D161" i="14"/>
  <c r="C162" i="14"/>
  <c r="D162" i="14"/>
  <c r="B162" i="14"/>
  <c r="B161" i="14"/>
  <c r="C157" i="14"/>
  <c r="D157" i="14"/>
  <c r="I157" i="14" s="1"/>
  <c r="C155" i="14"/>
  <c r="D155" i="14"/>
  <c r="I155" i="14" s="1"/>
  <c r="B155" i="14"/>
  <c r="C152" i="14"/>
  <c r="D152" i="14"/>
  <c r="B152" i="14"/>
  <c r="C145" i="14"/>
  <c r="D145" i="14"/>
  <c r="C146" i="14"/>
  <c r="D146" i="14"/>
  <c r="C147" i="14"/>
  <c r="D147" i="14"/>
  <c r="C148" i="14"/>
  <c r="D148" i="14"/>
  <c r="C149" i="14"/>
  <c r="D149" i="14"/>
  <c r="B146" i="14"/>
  <c r="B147" i="14"/>
  <c r="B148" i="14"/>
  <c r="B149" i="14"/>
  <c r="B145" i="14"/>
  <c r="C139" i="14"/>
  <c r="D139" i="14"/>
  <c r="C140" i="14"/>
  <c r="D140" i="14"/>
  <c r="I140" i="14" s="1"/>
  <c r="C141" i="14"/>
  <c r="D141" i="14"/>
  <c r="I141" i="14" s="1"/>
  <c r="B140" i="14"/>
  <c r="B141" i="14"/>
  <c r="B139" i="14"/>
  <c r="D135" i="14"/>
  <c r="I135" i="14" s="1"/>
  <c r="C136" i="14"/>
  <c r="D136" i="14"/>
  <c r="I136" i="14" s="1"/>
  <c r="B135" i="14"/>
  <c r="B136" i="14"/>
  <c r="C129" i="14"/>
  <c r="D129" i="14"/>
  <c r="I129" i="14" s="1"/>
  <c r="C131" i="14"/>
  <c r="D131" i="14"/>
  <c r="I131" i="14" s="1"/>
  <c r="B131" i="14"/>
  <c r="C126" i="14"/>
  <c r="D126" i="14"/>
  <c r="C127" i="14"/>
  <c r="D127" i="14"/>
  <c r="I127" i="14" s="1"/>
  <c r="C128" i="14"/>
  <c r="D128" i="14"/>
  <c r="I128" i="14" s="1"/>
  <c r="B127" i="14"/>
  <c r="B128" i="14"/>
  <c r="B129" i="14"/>
  <c r="B126" i="14"/>
  <c r="C65" i="14"/>
  <c r="D65" i="14"/>
  <c r="I65" i="14" s="1"/>
  <c r="B65" i="14"/>
  <c r="C50" i="14"/>
  <c r="D50" i="14"/>
  <c r="I50" i="14" s="1"/>
  <c r="B50" i="14"/>
  <c r="C121" i="14"/>
  <c r="D121" i="14"/>
  <c r="B121" i="14"/>
  <c r="B118" i="14"/>
  <c r="C118" i="14"/>
  <c r="D118" i="14"/>
  <c r="C115" i="14"/>
  <c r="B115" i="14"/>
  <c r="D115" i="14"/>
  <c r="D116" i="14" s="1"/>
  <c r="C104" i="14"/>
  <c r="D104" i="14"/>
  <c r="I104" i="14" s="1"/>
  <c r="C105" i="14"/>
  <c r="D105" i="14"/>
  <c r="I105" i="14" s="1"/>
  <c r="C106" i="14"/>
  <c r="D106" i="14"/>
  <c r="I106" i="14" s="1"/>
  <c r="C107" i="14"/>
  <c r="D107" i="14"/>
  <c r="I107" i="14" s="1"/>
  <c r="C108" i="14"/>
  <c r="D108" i="14"/>
  <c r="I108" i="14" s="1"/>
  <c r="C109" i="14"/>
  <c r="D109" i="14"/>
  <c r="I109" i="14" s="1"/>
  <c r="C110" i="14"/>
  <c r="D110" i="14"/>
  <c r="I110" i="14" s="1"/>
  <c r="C111" i="14"/>
  <c r="D111" i="14"/>
  <c r="I111" i="14" s="1"/>
  <c r="C112" i="14"/>
  <c r="D112" i="14"/>
  <c r="I112" i="14" s="1"/>
  <c r="B104" i="14"/>
  <c r="B105" i="14"/>
  <c r="B106" i="14"/>
  <c r="B107" i="14"/>
  <c r="B108" i="14"/>
  <c r="B109" i="14"/>
  <c r="B110" i="14"/>
  <c r="B111" i="14"/>
  <c r="B112" i="14"/>
  <c r="C100" i="14"/>
  <c r="D100" i="14"/>
  <c r="I100" i="14" s="1"/>
  <c r="C101" i="14"/>
  <c r="D101" i="14"/>
  <c r="I101" i="14" s="1"/>
  <c r="C102" i="14"/>
  <c r="D102" i="14"/>
  <c r="I102" i="14" s="1"/>
  <c r="C103" i="14"/>
  <c r="D103" i="14"/>
  <c r="I103" i="14" s="1"/>
  <c r="B101" i="14"/>
  <c r="B102" i="14"/>
  <c r="B103" i="14"/>
  <c r="B100" i="14"/>
  <c r="C93" i="14"/>
  <c r="D93" i="14"/>
  <c r="C94" i="14"/>
  <c r="D94" i="14"/>
  <c r="I94" i="14" s="1"/>
  <c r="C96" i="14"/>
  <c r="D96" i="14"/>
  <c r="I96" i="14" s="1"/>
  <c r="C97" i="14"/>
  <c r="D97" i="14"/>
  <c r="I97" i="14" s="1"/>
  <c r="C98" i="14"/>
  <c r="D98" i="14"/>
  <c r="I98" i="14" s="1"/>
  <c r="B94" i="14"/>
  <c r="B96" i="14"/>
  <c r="B97" i="14"/>
  <c r="B98" i="14"/>
  <c r="B93" i="14"/>
  <c r="B89" i="14"/>
  <c r="K7" i="4"/>
  <c r="D7" i="14"/>
  <c r="I7" i="14" s="1"/>
  <c r="C84" i="14"/>
  <c r="C89" i="14"/>
  <c r="D89" i="14"/>
  <c r="C86" i="14"/>
  <c r="D86" i="14"/>
  <c r="C87" i="14"/>
  <c r="D87" i="14"/>
  <c r="C88" i="14"/>
  <c r="D88" i="14"/>
  <c r="B87" i="14"/>
  <c r="B88" i="14"/>
  <c r="B86" i="14"/>
  <c r="C85" i="14"/>
  <c r="D85" i="14"/>
  <c r="B85" i="14"/>
  <c r="B84" i="14"/>
  <c r="C81" i="14"/>
  <c r="D81" i="14"/>
  <c r="C82" i="14"/>
  <c r="D82" i="14"/>
  <c r="I82" i="14" s="1"/>
  <c r="B81" i="14"/>
  <c r="C75" i="14"/>
  <c r="D75" i="14"/>
  <c r="C76" i="14"/>
  <c r="D76" i="14"/>
  <c r="C77" i="14"/>
  <c r="D77" i="14"/>
  <c r="C78" i="14"/>
  <c r="D78" i="14"/>
  <c r="C79" i="14"/>
  <c r="D79" i="14"/>
  <c r="C80" i="14"/>
  <c r="D80" i="14"/>
  <c r="B79" i="14"/>
  <c r="B80" i="14"/>
  <c r="B78" i="14"/>
  <c r="B76" i="14"/>
  <c r="B77" i="14"/>
  <c r="B75" i="14"/>
  <c r="C68" i="14"/>
  <c r="D68" i="14"/>
  <c r="C69" i="14"/>
  <c r="D69" i="14"/>
  <c r="C70" i="14"/>
  <c r="D70" i="14"/>
  <c r="C71" i="14"/>
  <c r="D71" i="14"/>
  <c r="C72" i="14"/>
  <c r="D72" i="14"/>
  <c r="C73" i="14"/>
  <c r="D73" i="14"/>
  <c r="C74" i="14"/>
  <c r="D74" i="14"/>
  <c r="B69" i="14"/>
  <c r="B70" i="14"/>
  <c r="B71" i="14"/>
  <c r="B72" i="14"/>
  <c r="B73" i="14"/>
  <c r="B74" i="14"/>
  <c r="B68" i="14"/>
  <c r="C64" i="14"/>
  <c r="D64" i="14"/>
  <c r="I64" i="14" s="1"/>
  <c r="B64" i="14"/>
  <c r="C63" i="14"/>
  <c r="D63" i="14"/>
  <c r="I63" i="14" s="1"/>
  <c r="B63" i="14"/>
  <c r="B266" i="14"/>
  <c r="B267" i="14"/>
  <c r="B269" i="14"/>
  <c r="B271" i="14"/>
  <c r="B265" i="14"/>
  <c r="B53" i="14"/>
  <c r="C53" i="14"/>
  <c r="B55" i="14"/>
  <c r="C55" i="14"/>
  <c r="B56" i="14"/>
  <c r="C56" i="14"/>
  <c r="B57" i="14"/>
  <c r="C57" i="14"/>
  <c r="B58" i="14"/>
  <c r="C58" i="14"/>
  <c r="B59" i="14"/>
  <c r="C59" i="14"/>
  <c r="B60" i="14"/>
  <c r="C60" i="14"/>
  <c r="B61" i="14"/>
  <c r="C61" i="14"/>
  <c r="B62" i="14"/>
  <c r="C62" i="14"/>
  <c r="B33" i="14"/>
  <c r="C33" i="14"/>
  <c r="B34" i="14"/>
  <c r="C34" i="14"/>
  <c r="B35" i="14"/>
  <c r="C35" i="14"/>
  <c r="B36" i="14"/>
  <c r="C36" i="14"/>
  <c r="B37" i="14"/>
  <c r="C37" i="14"/>
  <c r="B38" i="14"/>
  <c r="C38" i="14"/>
  <c r="B41" i="14"/>
  <c r="C41" i="14"/>
  <c r="B42" i="14"/>
  <c r="C42" i="14"/>
  <c r="B43" i="14"/>
  <c r="C43" i="14"/>
  <c r="B44" i="14"/>
  <c r="C44" i="14"/>
  <c r="B45" i="14"/>
  <c r="C45" i="14"/>
  <c r="B46" i="14"/>
  <c r="C46" i="14"/>
  <c r="B48" i="14"/>
  <c r="C48" i="14"/>
  <c r="B49" i="14"/>
  <c r="C49" i="14"/>
  <c r="B26" i="14"/>
  <c r="B27" i="14"/>
  <c r="C27" i="14"/>
  <c r="B28" i="14"/>
  <c r="C28" i="14"/>
  <c r="B29" i="14"/>
  <c r="C29" i="14"/>
  <c r="B30" i="14"/>
  <c r="C30" i="14"/>
  <c r="B17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D21" i="14"/>
  <c r="I21" i="14" s="1"/>
  <c r="D22" i="14"/>
  <c r="I22" i="14" s="1"/>
  <c r="D14" i="14"/>
  <c r="I14" i="14" s="1"/>
  <c r="D15" i="14"/>
  <c r="I15" i="14" s="1"/>
  <c r="D16" i="14"/>
  <c r="I16" i="14" s="1"/>
  <c r="C13" i="14"/>
  <c r="C14" i="14"/>
  <c r="C15" i="14"/>
  <c r="C16" i="14"/>
  <c r="B14" i="14"/>
  <c r="B15" i="14"/>
  <c r="B16" i="14"/>
  <c r="B13" i="14"/>
  <c r="D8" i="14"/>
  <c r="I8" i="14" s="1"/>
  <c r="D9" i="14"/>
  <c r="I9" i="14" s="1"/>
  <c r="D10" i="14"/>
  <c r="I10" i="14" s="1"/>
  <c r="D11" i="14"/>
  <c r="I11" i="14" s="1"/>
  <c r="C7" i="14"/>
  <c r="C8" i="14"/>
  <c r="C9" i="14"/>
  <c r="C10" i="14"/>
  <c r="C11" i="14"/>
  <c r="B7" i="14"/>
  <c r="B8" i="14"/>
  <c r="B9" i="14"/>
  <c r="B10" i="14"/>
  <c r="B11" i="14"/>
  <c r="D61" i="14"/>
  <c r="I61" i="14" s="1"/>
  <c r="D62" i="14"/>
  <c r="I62" i="14" s="1"/>
  <c r="D60" i="14"/>
  <c r="I60" i="14" s="1"/>
  <c r="D59" i="14"/>
  <c r="I59" i="14" s="1"/>
  <c r="D58" i="14"/>
  <c r="I58" i="14" s="1"/>
  <c r="D57" i="14"/>
  <c r="I57" i="14" s="1"/>
  <c r="D55" i="14"/>
  <c r="I55" i="14" s="1"/>
  <c r="D56" i="14"/>
  <c r="I56" i="14" s="1"/>
  <c r="D49" i="14"/>
  <c r="I49" i="14" s="1"/>
  <c r="D48" i="14"/>
  <c r="I48" i="14" s="1"/>
  <c r="D46" i="14"/>
  <c r="I46" i="14" s="1"/>
  <c r="D45" i="14"/>
  <c r="I45" i="14" s="1"/>
  <c r="D43" i="14"/>
  <c r="I43" i="14" s="1"/>
  <c r="D44" i="14"/>
  <c r="I44" i="14" s="1"/>
  <c r="D42" i="14"/>
  <c r="I42" i="14" s="1"/>
  <c r="D41" i="14"/>
  <c r="I41" i="14" s="1"/>
  <c r="D39" i="14"/>
  <c r="I39" i="14" s="1"/>
  <c r="D38" i="14"/>
  <c r="I38" i="14" s="1"/>
  <c r="D37" i="14"/>
  <c r="I37" i="14" s="1"/>
  <c r="D36" i="14"/>
  <c r="I36" i="14" s="1"/>
  <c r="D33" i="14"/>
  <c r="I33" i="14" s="1"/>
  <c r="D34" i="14"/>
  <c r="I34" i="14" s="1"/>
  <c r="D35" i="14"/>
  <c r="I35" i="14" s="1"/>
  <c r="D30" i="14"/>
  <c r="I30" i="14" s="1"/>
  <c r="D29" i="14"/>
  <c r="D28" i="14"/>
  <c r="D27" i="14"/>
  <c r="D26" i="14"/>
  <c r="I26" i="14" s="1"/>
  <c r="D23" i="14"/>
  <c r="I23" i="14" s="1"/>
  <c r="D18" i="14"/>
  <c r="I18" i="14" s="1"/>
  <c r="D19" i="14"/>
  <c r="I19" i="14" s="1"/>
  <c r="D20" i="14"/>
  <c r="I20" i="14" s="1"/>
  <c r="I262" i="14" l="1"/>
  <c r="D91" i="14"/>
  <c r="D113" i="14"/>
  <c r="D222" i="14"/>
  <c r="D143" i="14"/>
  <c r="D179" i="14"/>
  <c r="D133" i="14"/>
  <c r="D211" i="14"/>
  <c r="I173" i="14"/>
  <c r="I208" i="14"/>
  <c r="H227" i="14"/>
  <c r="G164" i="14"/>
  <c r="G227" i="14" s="1"/>
  <c r="G276" i="14" s="1"/>
  <c r="D159" i="14"/>
  <c r="F164" i="14"/>
  <c r="F227" i="14" s="1"/>
  <c r="I224" i="14"/>
  <c r="I225" i="14"/>
  <c r="D206" i="14"/>
  <c r="I167" i="14"/>
  <c r="D194" i="14"/>
  <c r="I181" i="14"/>
  <c r="I161" i="14"/>
  <c r="I168" i="14"/>
  <c r="D169" i="14"/>
  <c r="D170" i="14" s="1"/>
  <c r="D153" i="14"/>
  <c r="I126" i="14"/>
  <c r="I148" i="14"/>
  <c r="D163" i="14"/>
  <c r="I162" i="14"/>
  <c r="D150" i="14"/>
  <c r="I152" i="14"/>
  <c r="I139" i="14"/>
  <c r="D137" i="14"/>
  <c r="I115" i="14"/>
  <c r="I145" i="14"/>
  <c r="I149" i="14"/>
  <c r="I146" i="14"/>
  <c r="D66" i="14"/>
  <c r="I147" i="14"/>
  <c r="D122" i="14"/>
  <c r="I121" i="14"/>
  <c r="D51" i="14"/>
  <c r="I118" i="14"/>
  <c r="I73" i="14"/>
  <c r="D119" i="14"/>
  <c r="I119" i="14" s="1"/>
  <c r="I93" i="14"/>
  <c r="I116" i="14"/>
  <c r="I69" i="14"/>
  <c r="I78" i="14"/>
  <c r="I86" i="14"/>
  <c r="I81" i="14"/>
  <c r="I72" i="14"/>
  <c r="I68" i="14"/>
  <c r="I80" i="14"/>
  <c r="I77" i="14"/>
  <c r="I74" i="14"/>
  <c r="I84" i="14"/>
  <c r="I71" i="14"/>
  <c r="I70" i="14"/>
  <c r="I79" i="14"/>
  <c r="I76" i="14"/>
  <c r="I75" i="14"/>
  <c r="I85" i="14"/>
  <c r="I88" i="14"/>
  <c r="I87" i="14"/>
  <c r="I89" i="14"/>
  <c r="D24" i="14"/>
  <c r="I28" i="14"/>
  <c r="D31" i="14"/>
  <c r="I27" i="14"/>
  <c r="I29" i="14"/>
  <c r="G114" i="12" l="1"/>
  <c r="G277" i="14"/>
  <c r="D123" i="14"/>
  <c r="D164" i="14"/>
  <c r="D226" i="14"/>
  <c r="I137" i="14"/>
  <c r="I222" i="14"/>
  <c r="I206" i="14"/>
  <c r="I211" i="14"/>
  <c r="I194" i="14"/>
  <c r="I163" i="14"/>
  <c r="I170" i="14"/>
  <c r="I143" i="14"/>
  <c r="I169" i="14"/>
  <c r="I153" i="14"/>
  <c r="I159" i="14"/>
  <c r="I122" i="14"/>
  <c r="I179" i="14"/>
  <c r="I133" i="14"/>
  <c r="I66" i="14"/>
  <c r="I150" i="14"/>
  <c r="I31" i="14"/>
  <c r="I113" i="14"/>
  <c r="I51" i="14"/>
  <c r="I91" i="14"/>
  <c r="I24" i="14"/>
  <c r="D227" i="14" l="1"/>
  <c r="I226" i="14"/>
  <c r="I164" i="14"/>
  <c r="G394" i="7"/>
  <c r="L394" i="7" s="1"/>
  <c r="I383" i="7"/>
  <c r="J383" i="7"/>
  <c r="G383" i="7"/>
  <c r="L383" i="7" s="1"/>
  <c r="J307" i="7"/>
  <c r="K307" i="7"/>
  <c r="G307" i="7"/>
  <c r="L307" i="7" l="1"/>
  <c r="G279" i="7"/>
  <c r="G274" i="7"/>
  <c r="I279" i="7"/>
  <c r="J279" i="7"/>
  <c r="K279" i="7"/>
  <c r="J274" i="7"/>
  <c r="K274" i="7"/>
  <c r="J263" i="7"/>
  <c r="J521" i="7" s="1"/>
  <c r="G263" i="7"/>
  <c r="L274" i="7" l="1"/>
  <c r="G521" i="7"/>
  <c r="L263" i="7"/>
  <c r="L279" i="7"/>
  <c r="J280" i="7"/>
  <c r="G280" i="7"/>
  <c r="K280" i="7"/>
  <c r="I280" i="7"/>
  <c r="L280" i="7" l="1"/>
  <c r="G220" i="7"/>
  <c r="G198" i="7"/>
  <c r="K194" i="7"/>
  <c r="L194" i="7" s="1"/>
  <c r="I163" i="7"/>
  <c r="J163" i="7"/>
  <c r="G163" i="7"/>
  <c r="L163" i="7" s="1"/>
  <c r="G223" i="7" l="1"/>
  <c r="G199" i="7"/>
  <c r="G99" i="7"/>
  <c r="I99" i="7"/>
  <c r="K99" i="7"/>
  <c r="I90" i="7"/>
  <c r="K90" i="7"/>
  <c r="G90" i="7"/>
  <c r="I81" i="7"/>
  <c r="K81" i="7"/>
  <c r="G81" i="7"/>
  <c r="G31" i="7"/>
  <c r="L31" i="7" s="1"/>
  <c r="K467" i="7"/>
  <c r="K473" i="7"/>
  <c r="J473" i="7"/>
  <c r="I473" i="7"/>
  <c r="G473" i="7"/>
  <c r="K471" i="7"/>
  <c r="J471" i="7"/>
  <c r="I471" i="7"/>
  <c r="G471" i="7"/>
  <c r="K469" i="7"/>
  <c r="J469" i="7"/>
  <c r="G469" i="7"/>
  <c r="J463" i="7"/>
  <c r="I463" i="7"/>
  <c r="G463" i="7"/>
  <c r="K441" i="7"/>
  <c r="I441" i="7"/>
  <c r="J423" i="7"/>
  <c r="J424" i="7" s="1"/>
  <c r="I424" i="7"/>
  <c r="G423" i="7"/>
  <c r="J416" i="7"/>
  <c r="J417" i="7" s="1"/>
  <c r="I417" i="7"/>
  <c r="G416" i="7"/>
  <c r="J404" i="7"/>
  <c r="J409" i="7" s="1"/>
  <c r="J394" i="7"/>
  <c r="K391" i="7"/>
  <c r="J391" i="7"/>
  <c r="G391" i="7"/>
  <c r="K386" i="7"/>
  <c r="J386" i="7"/>
  <c r="J387" i="7" s="1"/>
  <c r="I387" i="7"/>
  <c r="G386" i="7"/>
  <c r="G387" i="7" s="1"/>
  <c r="J381" i="7"/>
  <c r="I384" i="7"/>
  <c r="G381" i="7"/>
  <c r="K375" i="7"/>
  <c r="J375" i="7"/>
  <c r="J376" i="7" s="1"/>
  <c r="I376" i="7"/>
  <c r="G375" i="7"/>
  <c r="G376" i="7" s="1"/>
  <c r="K370" i="7"/>
  <c r="L370" i="7" s="1"/>
  <c r="G371" i="7"/>
  <c r="K366" i="7"/>
  <c r="L366" i="7" s="1"/>
  <c r="J366" i="7"/>
  <c r="J367" i="7" s="1"/>
  <c r="I367" i="7"/>
  <c r="G362" i="7"/>
  <c r="I353" i="7"/>
  <c r="J325" i="7"/>
  <c r="G334" i="7"/>
  <c r="K319" i="7"/>
  <c r="I319" i="7"/>
  <c r="K293" i="7"/>
  <c r="J293" i="7"/>
  <c r="I293" i="7"/>
  <c r="G293" i="7"/>
  <c r="K291" i="7"/>
  <c r="J291" i="7"/>
  <c r="I291" i="7"/>
  <c r="G291" i="7"/>
  <c r="J288" i="7"/>
  <c r="G288" i="7"/>
  <c r="L288" i="7" s="1"/>
  <c r="K284" i="7"/>
  <c r="J284" i="7"/>
  <c r="J285" i="7" s="1"/>
  <c r="I285" i="7"/>
  <c r="G284" i="7"/>
  <c r="G285" i="7" s="1"/>
  <c r="K260" i="7"/>
  <c r="J260" i="7"/>
  <c r="J267" i="7" s="1"/>
  <c r="I267" i="7"/>
  <c r="G260" i="7"/>
  <c r="G267" i="7" s="1"/>
  <c r="K256" i="7"/>
  <c r="J256" i="7"/>
  <c r="J257" i="7" s="1"/>
  <c r="I257" i="7"/>
  <c r="G256" i="7"/>
  <c r="G257" i="7" s="1"/>
  <c r="K252" i="7"/>
  <c r="J252" i="7"/>
  <c r="J253" i="7" s="1"/>
  <c r="I253" i="7"/>
  <c r="G252" i="7"/>
  <c r="G253" i="7" s="1"/>
  <c r="K248" i="7"/>
  <c r="J248" i="7"/>
  <c r="G248" i="7"/>
  <c r="K240" i="7"/>
  <c r="L240" i="7" s="1"/>
  <c r="J240" i="7"/>
  <c r="I245" i="7"/>
  <c r="G245" i="7"/>
  <c r="K236" i="7"/>
  <c r="L236" i="7" s="1"/>
  <c r="J236" i="7"/>
  <c r="J237" i="7" s="1"/>
  <c r="I237" i="7"/>
  <c r="G237" i="7"/>
  <c r="K234" i="7"/>
  <c r="J234" i="7"/>
  <c r="I234" i="7"/>
  <c r="G234" i="7"/>
  <c r="K229" i="7"/>
  <c r="J229" i="7"/>
  <c r="J230" i="7" s="1"/>
  <c r="I230" i="7"/>
  <c r="G229" i="7"/>
  <c r="G230" i="7" s="1"/>
  <c r="J227" i="7"/>
  <c r="I227" i="7"/>
  <c r="G227" i="7"/>
  <c r="K220" i="7"/>
  <c r="L220" i="7" s="1"/>
  <c r="J220" i="7"/>
  <c r="J223" i="7" s="1"/>
  <c r="I223" i="7"/>
  <c r="K207" i="7"/>
  <c r="J207" i="7"/>
  <c r="G207" i="7"/>
  <c r="G215" i="7" s="1"/>
  <c r="K198" i="7"/>
  <c r="L198" i="7" s="1"/>
  <c r="J198" i="7"/>
  <c r="I198" i="7"/>
  <c r="I199" i="7" s="1"/>
  <c r="J178" i="7"/>
  <c r="J520" i="7" s="1"/>
  <c r="G178" i="7"/>
  <c r="L178" i="7" s="1"/>
  <c r="K167" i="7"/>
  <c r="J167" i="7"/>
  <c r="G167" i="7"/>
  <c r="K160" i="7"/>
  <c r="J160" i="7"/>
  <c r="J164" i="7" s="1"/>
  <c r="I164" i="7"/>
  <c r="G160" i="7"/>
  <c r="K144" i="7"/>
  <c r="J144" i="7"/>
  <c r="J145" i="7" s="1"/>
  <c r="I145" i="7"/>
  <c r="G144" i="7"/>
  <c r="G145" i="7" s="1"/>
  <c r="K134" i="7"/>
  <c r="J134" i="7"/>
  <c r="J141" i="7" s="1"/>
  <c r="I141" i="7"/>
  <c r="G134" i="7"/>
  <c r="G141" i="7" s="1"/>
  <c r="K128" i="7"/>
  <c r="J128" i="7"/>
  <c r="J129" i="7" s="1"/>
  <c r="I129" i="7"/>
  <c r="G128" i="7"/>
  <c r="G129" i="7" s="1"/>
  <c r="J119" i="7"/>
  <c r="K113" i="7"/>
  <c r="J113" i="7"/>
  <c r="J114" i="7" s="1"/>
  <c r="I114" i="7"/>
  <c r="G113" i="7"/>
  <c r="G114" i="7" s="1"/>
  <c r="K104" i="7"/>
  <c r="J104" i="7"/>
  <c r="I109" i="7"/>
  <c r="G104" i="7"/>
  <c r="K97" i="7"/>
  <c r="G97" i="7"/>
  <c r="K87" i="7"/>
  <c r="G87" i="7"/>
  <c r="K78" i="7"/>
  <c r="G78" i="7"/>
  <c r="K70" i="7"/>
  <c r="I70" i="7"/>
  <c r="G70" i="7"/>
  <c r="K68" i="7"/>
  <c r="G68" i="7"/>
  <c r="K63" i="7"/>
  <c r="I64" i="7"/>
  <c r="G63" i="7"/>
  <c r="G64" i="7" s="1"/>
  <c r="K58" i="7"/>
  <c r="G58" i="7"/>
  <c r="G59" i="7" s="1"/>
  <c r="K35" i="7"/>
  <c r="G35" i="7"/>
  <c r="G36" i="7" s="1"/>
  <c r="G25" i="7"/>
  <c r="L25" i="7" s="1"/>
  <c r="L70" i="7" l="1"/>
  <c r="L469" i="7"/>
  <c r="L471" i="7"/>
  <c r="L473" i="7"/>
  <c r="L291" i="7"/>
  <c r="L293" i="7"/>
  <c r="L68" i="7"/>
  <c r="L90" i="7"/>
  <c r="L63" i="7"/>
  <c r="L128" i="7"/>
  <c r="L248" i="7"/>
  <c r="L256" i="7"/>
  <c r="L284" i="7"/>
  <c r="L386" i="7"/>
  <c r="L99" i="7"/>
  <c r="K141" i="7"/>
  <c r="L141" i="7" s="1"/>
  <c r="L134" i="7"/>
  <c r="K164" i="7"/>
  <c r="L160" i="7"/>
  <c r="L58" i="7"/>
  <c r="L87" i="7"/>
  <c r="K230" i="7"/>
  <c r="L230" i="7" s="1"/>
  <c r="L229" i="7"/>
  <c r="L234" i="7"/>
  <c r="L375" i="7"/>
  <c r="G424" i="7"/>
  <c r="L424" i="7" s="1"/>
  <c r="L423" i="7"/>
  <c r="G384" i="7"/>
  <c r="L384" i="7" s="1"/>
  <c r="L381" i="7"/>
  <c r="G417" i="7"/>
  <c r="L416" i="7"/>
  <c r="L35" i="7"/>
  <c r="L78" i="7"/>
  <c r="L97" i="7"/>
  <c r="L104" i="7"/>
  <c r="L113" i="7"/>
  <c r="K179" i="7"/>
  <c r="L167" i="7"/>
  <c r="L207" i="7"/>
  <c r="L391" i="7"/>
  <c r="L81" i="7"/>
  <c r="K145" i="7"/>
  <c r="L145" i="7" s="1"/>
  <c r="L144" i="7"/>
  <c r="K253" i="7"/>
  <c r="L253" i="7" s="1"/>
  <c r="L252" i="7"/>
  <c r="K267" i="7"/>
  <c r="L267" i="7" s="1"/>
  <c r="L260" i="7"/>
  <c r="G363" i="7"/>
  <c r="L363" i="7" s="1"/>
  <c r="L362" i="7"/>
  <c r="J519" i="7"/>
  <c r="G520" i="7"/>
  <c r="J522" i="7"/>
  <c r="N472" i="7" s="1"/>
  <c r="I520" i="7"/>
  <c r="I522" i="7"/>
  <c r="K519" i="7"/>
  <c r="G522" i="7"/>
  <c r="G519" i="7"/>
  <c r="K520" i="7"/>
  <c r="K522" i="7"/>
  <c r="G93" i="7"/>
  <c r="G82" i="7"/>
  <c r="K36" i="7"/>
  <c r="L36" i="7" s="1"/>
  <c r="N470" i="7"/>
  <c r="K395" i="7"/>
  <c r="K82" i="7"/>
  <c r="L82" i="7" s="1"/>
  <c r="K73" i="7"/>
  <c r="G73" i="7"/>
  <c r="I409" i="7"/>
  <c r="K474" i="7"/>
  <c r="K93" i="7"/>
  <c r="I82" i="7"/>
  <c r="I93" i="7"/>
  <c r="I73" i="7"/>
  <c r="I249" i="7"/>
  <c r="J249" i="7"/>
  <c r="G249" i="7"/>
  <c r="G26" i="7"/>
  <c r="L26" i="7" s="1"/>
  <c r="J474" i="7"/>
  <c r="I26" i="7"/>
  <c r="J294" i="7"/>
  <c r="J199" i="7"/>
  <c r="J245" i="7"/>
  <c r="G474" i="7"/>
  <c r="I474" i="7"/>
  <c r="I59" i="7"/>
  <c r="J441" i="7"/>
  <c r="J153" i="7"/>
  <c r="K417" i="7"/>
  <c r="K227" i="7"/>
  <c r="L227" i="7" s="1"/>
  <c r="K237" i="7"/>
  <c r="L237" i="7" s="1"/>
  <c r="K245" i="7"/>
  <c r="L245" i="7" s="1"/>
  <c r="K249" i="7"/>
  <c r="L249" i="7" s="1"/>
  <c r="K257" i="7"/>
  <c r="L257" i="7" s="1"/>
  <c r="K285" i="7"/>
  <c r="L285" i="7" s="1"/>
  <c r="K294" i="7"/>
  <c r="K367" i="7"/>
  <c r="L367" i="7" s="1"/>
  <c r="K371" i="7"/>
  <c r="L371" i="7" s="1"/>
  <c r="K376" i="7"/>
  <c r="L376" i="7" s="1"/>
  <c r="K387" i="7"/>
  <c r="L387" i="7" s="1"/>
  <c r="G441" i="7"/>
  <c r="L441" i="7" s="1"/>
  <c r="K199" i="7"/>
  <c r="L199" i="7" s="1"/>
  <c r="K215" i="7"/>
  <c r="L215" i="7" s="1"/>
  <c r="K463" i="7"/>
  <c r="L463" i="7" s="1"/>
  <c r="K59" i="7"/>
  <c r="L59" i="7" s="1"/>
  <c r="K64" i="7"/>
  <c r="L64" i="7" s="1"/>
  <c r="K114" i="7"/>
  <c r="L114" i="7" s="1"/>
  <c r="K124" i="7"/>
  <c r="K129" i="7"/>
  <c r="L129" i="7" s="1"/>
  <c r="I395" i="7"/>
  <c r="J467" i="7"/>
  <c r="G467" i="7"/>
  <c r="L467" i="7" s="1"/>
  <c r="I467" i="7"/>
  <c r="K223" i="7"/>
  <c r="L223" i="7" s="1"/>
  <c r="I294" i="7"/>
  <c r="J395" i="7"/>
  <c r="J384" i="7"/>
  <c r="G100" i="7"/>
  <c r="K353" i="7"/>
  <c r="J353" i="7"/>
  <c r="G353" i="7"/>
  <c r="K334" i="7"/>
  <c r="L334" i="7" s="1"/>
  <c r="J334" i="7"/>
  <c r="I334" i="7"/>
  <c r="J319" i="7"/>
  <c r="G319" i="7"/>
  <c r="L319" i="7" s="1"/>
  <c r="G294" i="7"/>
  <c r="J215" i="7"/>
  <c r="J179" i="7"/>
  <c r="I179" i="7"/>
  <c r="G179" i="7"/>
  <c r="G164" i="7"/>
  <c r="G395" i="7"/>
  <c r="G153" i="7"/>
  <c r="I215" i="7"/>
  <c r="K100" i="7"/>
  <c r="J124" i="7"/>
  <c r="I124" i="7"/>
  <c r="I100" i="7"/>
  <c r="G124" i="7"/>
  <c r="K109" i="7"/>
  <c r="J109" i="7"/>
  <c r="G109" i="7"/>
  <c r="G32" i="7"/>
  <c r="L32" i="7" s="1"/>
  <c r="I32" i="7"/>
  <c r="K153" i="7"/>
  <c r="L153" i="7" s="1"/>
  <c r="I153" i="7"/>
  <c r="L474" i="7" l="1"/>
  <c r="L100" i="7"/>
  <c r="L353" i="7"/>
  <c r="L93" i="7"/>
  <c r="L73" i="7"/>
  <c r="L417" i="7"/>
  <c r="L395" i="7"/>
  <c r="L179" i="7"/>
  <c r="L164" i="7"/>
  <c r="L109" i="7"/>
  <c r="L124" i="7"/>
  <c r="L294" i="7"/>
  <c r="J523" i="7"/>
  <c r="I418" i="4" s="1"/>
  <c r="N468" i="7"/>
  <c r="I523" i="7"/>
  <c r="G475" i="7"/>
  <c r="G523" i="7"/>
  <c r="I475" i="7"/>
  <c r="J475" i="7"/>
  <c r="K475" i="7"/>
  <c r="K523" i="7"/>
  <c r="L475" i="7" l="1"/>
  <c r="K332" i="4"/>
  <c r="K331" i="4"/>
  <c r="D76" i="12"/>
  <c r="I76" i="12" l="1"/>
  <c r="K298" i="4"/>
  <c r="K391" i="4"/>
  <c r="K379" i="4"/>
  <c r="K357" i="4"/>
  <c r="K352" i="4"/>
  <c r="K348" i="4"/>
  <c r="K347" i="4"/>
  <c r="K346" i="4"/>
  <c r="K345" i="4"/>
  <c r="K344" i="4"/>
  <c r="K341" i="4"/>
  <c r="K326" i="4"/>
  <c r="K325" i="4"/>
  <c r="K322" i="4"/>
  <c r="K321" i="4"/>
  <c r="K320" i="4"/>
  <c r="K319" i="4"/>
  <c r="K318" i="4"/>
  <c r="K317" i="4"/>
  <c r="K314" i="4"/>
  <c r="K313" i="4"/>
  <c r="K308" i="4"/>
  <c r="K307" i="4"/>
  <c r="K303" i="4"/>
  <c r="K302" i="4"/>
  <c r="K301" i="4"/>
  <c r="K300" i="4"/>
  <c r="K292" i="4"/>
  <c r="K286" i="4"/>
  <c r="K282" i="4"/>
  <c r="K281" i="4"/>
  <c r="K280" i="4"/>
  <c r="K273" i="4"/>
  <c r="K270" i="4"/>
  <c r="K263" i="4"/>
  <c r="K262" i="4"/>
  <c r="K254" i="4"/>
  <c r="K250" i="4"/>
  <c r="K245" i="4"/>
  <c r="K240" i="4"/>
  <c r="K239" i="4"/>
  <c r="K238" i="4"/>
  <c r="K237" i="4"/>
  <c r="K236" i="4"/>
  <c r="K230" i="4"/>
  <c r="K229" i="4"/>
  <c r="K228" i="4"/>
  <c r="K223" i="4"/>
  <c r="K222" i="4"/>
  <c r="K214" i="4"/>
  <c r="K211" i="4"/>
  <c r="K210" i="4"/>
  <c r="K209" i="4"/>
  <c r="K202" i="4"/>
  <c r="K192" i="4"/>
  <c r="K187" i="4"/>
  <c r="K186" i="4"/>
  <c r="K185" i="4"/>
  <c r="K184" i="4"/>
  <c r="K183" i="4"/>
  <c r="K182" i="4"/>
  <c r="K181" i="4"/>
  <c r="K180" i="4"/>
  <c r="K179" i="4"/>
  <c r="K176" i="4"/>
  <c r="K175" i="4"/>
  <c r="K174" i="4"/>
  <c r="K173" i="4"/>
  <c r="K168" i="4"/>
  <c r="K167" i="4"/>
  <c r="K166" i="4"/>
  <c r="K165" i="4"/>
  <c r="K164" i="4"/>
  <c r="K158" i="4"/>
  <c r="K155" i="4"/>
  <c r="K154" i="4"/>
  <c r="K153" i="4"/>
  <c r="K150" i="4"/>
  <c r="K149" i="4"/>
  <c r="K145" i="4"/>
  <c r="K144" i="4"/>
  <c r="K141" i="4"/>
  <c r="K140" i="4"/>
  <c r="K139" i="4"/>
  <c r="K136" i="4"/>
  <c r="K135" i="4"/>
  <c r="K134" i="4"/>
  <c r="K131" i="4"/>
  <c r="K130" i="4"/>
  <c r="K129" i="4"/>
  <c r="K128" i="4"/>
  <c r="K127" i="4"/>
  <c r="K126" i="4"/>
  <c r="K125" i="4"/>
  <c r="K120" i="4"/>
  <c r="K117" i="4"/>
  <c r="K114" i="4"/>
  <c r="K104" i="4"/>
  <c r="K103" i="4"/>
  <c r="K100" i="4"/>
  <c r="K97" i="4"/>
  <c r="K94" i="4"/>
  <c r="K87" i="4"/>
  <c r="K82" i="4"/>
  <c r="K79" i="4"/>
  <c r="K78" i="4"/>
  <c r="K73" i="4"/>
  <c r="K72" i="4"/>
  <c r="K69" i="4"/>
  <c r="K68" i="4"/>
  <c r="K67" i="4"/>
  <c r="K64" i="4"/>
  <c r="K59" i="4"/>
  <c r="K58" i="4"/>
  <c r="K57" i="4"/>
  <c r="K54" i="4"/>
  <c r="K53" i="4"/>
  <c r="K52" i="4"/>
  <c r="K47" i="4"/>
  <c r="K44" i="4"/>
  <c r="K41" i="4"/>
  <c r="K38" i="4"/>
  <c r="K35" i="4"/>
  <c r="K30" i="4"/>
  <c r="K29" i="4"/>
  <c r="K28" i="4"/>
  <c r="K25" i="4"/>
  <c r="K24" i="4"/>
  <c r="K23" i="4"/>
  <c r="K19" i="4"/>
  <c r="K18" i="4"/>
  <c r="K17" i="4"/>
  <c r="K16" i="4"/>
  <c r="K12" i="4"/>
  <c r="K11" i="4"/>
  <c r="K10" i="4"/>
  <c r="K9" i="4"/>
  <c r="K8" i="4"/>
  <c r="I171" i="6"/>
  <c r="F353" i="4"/>
  <c r="D89" i="12" s="1"/>
  <c r="I89" i="12" s="1"/>
  <c r="D88" i="12"/>
  <c r="I88" i="12" s="1"/>
  <c r="F342" i="4"/>
  <c r="D87" i="12" s="1"/>
  <c r="F323" i="4"/>
  <c r="D81" i="12" s="1"/>
  <c r="I81" i="12" s="1"/>
  <c r="D56" i="12"/>
  <c r="D57" i="12" s="1"/>
  <c r="C18" i="10" s="1"/>
  <c r="D51" i="12"/>
  <c r="D32" i="12"/>
  <c r="D20" i="12"/>
  <c r="I20" i="12" s="1"/>
  <c r="D19" i="12"/>
  <c r="I19" i="12" s="1"/>
  <c r="D17" i="12"/>
  <c r="I17" i="12" s="1"/>
  <c r="F55" i="4"/>
  <c r="D53" i="12" l="1"/>
  <c r="C16" i="10" s="1"/>
  <c r="F354" i="4"/>
  <c r="I87" i="12"/>
  <c r="D15" i="12"/>
  <c r="I15" i="12" s="1"/>
  <c r="D18" i="12"/>
  <c r="I18" i="12" s="1"/>
  <c r="I51" i="12"/>
  <c r="I55" i="12"/>
  <c r="I54" i="12"/>
  <c r="K55" i="4"/>
  <c r="K65" i="4"/>
  <c r="K70" i="4"/>
  <c r="K75" i="4"/>
  <c r="K224" i="4"/>
  <c r="K350" i="4"/>
  <c r="K353" i="4"/>
  <c r="K323" i="4"/>
  <c r="K342" i="4"/>
  <c r="K215" i="4"/>
  <c r="K389" i="4"/>
  <c r="F48" i="11"/>
  <c r="G48" i="11" s="1"/>
  <c r="E48" i="11"/>
  <c r="E47" i="11"/>
  <c r="F47" i="11"/>
  <c r="F24" i="11"/>
  <c r="H102" i="6"/>
  <c r="F21" i="11" s="1"/>
  <c r="E20" i="11"/>
  <c r="F20" i="11"/>
  <c r="D20" i="11"/>
  <c r="G67" i="6"/>
  <c r="E12" i="11" s="1"/>
  <c r="H67" i="6"/>
  <c r="F12" i="11" s="1"/>
  <c r="F67" i="6"/>
  <c r="D12" i="11" s="1"/>
  <c r="H12" i="6"/>
  <c r="F4" i="11" s="1"/>
  <c r="I53" i="12" l="1"/>
  <c r="E4" i="11"/>
  <c r="G20" i="11"/>
  <c r="G12" i="11"/>
  <c r="E49" i="11"/>
  <c r="E52" i="11" s="1"/>
  <c r="G24" i="11"/>
  <c r="F49" i="11"/>
  <c r="F52" i="11" s="1"/>
  <c r="G52" i="11" s="1"/>
  <c r="I67" i="6"/>
  <c r="I99" i="6"/>
  <c r="I181" i="6"/>
  <c r="E30" i="9" l="1"/>
  <c r="F24" i="8" s="1"/>
  <c r="F26" i="8" s="1"/>
  <c r="G49" i="11"/>
  <c r="C30" i="9"/>
  <c r="D24" i="8" s="1"/>
  <c r="D30" i="9"/>
  <c r="H44" i="10"/>
  <c r="G47" i="11"/>
  <c r="E24" i="8" l="1"/>
  <c r="E26" i="8" s="1"/>
  <c r="C32" i="9"/>
  <c r="D26" i="8"/>
  <c r="E32" i="9"/>
  <c r="D32" i="9"/>
  <c r="D90" i="12"/>
  <c r="K354" i="4"/>
  <c r="F30" i="9"/>
  <c r="F327" i="4"/>
  <c r="D82" i="12" s="1"/>
  <c r="I82" i="12" s="1"/>
  <c r="F315" i="4"/>
  <c r="D80" i="12" s="1"/>
  <c r="D70" i="12"/>
  <c r="I70" i="12" s="1"/>
  <c r="D30" i="12"/>
  <c r="I30" i="12" s="1"/>
  <c r="D21" i="12"/>
  <c r="I21" i="12" s="1"/>
  <c r="F32" i="9" l="1"/>
  <c r="G26" i="8"/>
  <c r="I90" i="12"/>
  <c r="C32" i="10"/>
  <c r="H32" i="10" s="1"/>
  <c r="F328" i="4"/>
  <c r="K83" i="4"/>
  <c r="K274" i="4"/>
  <c r="K121" i="4"/>
  <c r="K327" i="4"/>
  <c r="D83" i="12" l="1"/>
  <c r="C30" i="10" s="1"/>
  <c r="I80" i="12"/>
  <c r="D5" i="12"/>
  <c r="I5" i="12" s="1"/>
  <c r="F309" i="4" l="1"/>
  <c r="D77" i="12"/>
  <c r="I77" i="12" s="1"/>
  <c r="D74" i="12"/>
  <c r="I74" i="12" s="1"/>
  <c r="F225" i="4"/>
  <c r="G102" i="6"/>
  <c r="F102" i="6"/>
  <c r="D21" i="11" s="1"/>
  <c r="G21" i="11" s="1"/>
  <c r="D78" i="12" l="1"/>
  <c r="I78" i="12" s="1"/>
  <c r="F310" i="4"/>
  <c r="E21" i="11"/>
  <c r="I102" i="6"/>
  <c r="D69" i="12"/>
  <c r="I69" i="12" s="1"/>
  <c r="K232" i="4"/>
  <c r="D58" i="12"/>
  <c r="D59" i="12" s="1"/>
  <c r="C19" i="10" s="1"/>
  <c r="K288" i="4"/>
  <c r="K271" i="4"/>
  <c r="K305" i="4"/>
  <c r="K309" i="4"/>
  <c r="F358" i="4"/>
  <c r="D91" i="12" s="1"/>
  <c r="D63" i="12"/>
  <c r="I63" i="12" s="1"/>
  <c r="D62" i="12"/>
  <c r="I62" i="12" s="1"/>
  <c r="F246" i="4"/>
  <c r="F233" i="4"/>
  <c r="D42" i="12"/>
  <c r="F177" i="4"/>
  <c r="D41" i="12" s="1"/>
  <c r="D38" i="12"/>
  <c r="D37" i="12"/>
  <c r="D36" i="12"/>
  <c r="D35" i="12"/>
  <c r="D34" i="12"/>
  <c r="D33" i="12"/>
  <c r="D29" i="12"/>
  <c r="I29" i="12" s="1"/>
  <c r="D28" i="12"/>
  <c r="I28" i="12" s="1"/>
  <c r="F105" i="4"/>
  <c r="D25" i="12"/>
  <c r="I25" i="12" s="1"/>
  <c r="D24" i="12"/>
  <c r="I24" i="12" s="1"/>
  <c r="F84" i="4"/>
  <c r="D13" i="12"/>
  <c r="D12" i="12"/>
  <c r="I12" i="12" s="1"/>
  <c r="D11" i="12"/>
  <c r="I11" i="12" s="1"/>
  <c r="D10" i="12"/>
  <c r="I10" i="12" s="1"/>
  <c r="D9" i="12"/>
  <c r="I9" i="12" s="1"/>
  <c r="F31" i="4"/>
  <c r="D7" i="12" s="1"/>
  <c r="I7" i="12" s="1"/>
  <c r="D6" i="12"/>
  <c r="I6" i="12" s="1"/>
  <c r="H146" i="6"/>
  <c r="F30" i="11" s="1"/>
  <c r="G146" i="6"/>
  <c r="E30" i="11" s="1"/>
  <c r="F146" i="6"/>
  <c r="H74" i="6"/>
  <c r="F15" i="11" s="1"/>
  <c r="G74" i="6"/>
  <c r="F74" i="6"/>
  <c r="H138" i="6"/>
  <c r="F27" i="11" s="1"/>
  <c r="G138" i="6"/>
  <c r="D27" i="11"/>
  <c r="H135" i="6"/>
  <c r="F26" i="11" s="1"/>
  <c r="E26" i="11"/>
  <c r="D26" i="11"/>
  <c r="H132" i="6"/>
  <c r="F25" i="11" s="1"/>
  <c r="D25" i="11"/>
  <c r="E24" i="11"/>
  <c r="H88" i="6"/>
  <c r="F19" i="11" s="1"/>
  <c r="G88" i="6"/>
  <c r="E19" i="11" s="1"/>
  <c r="F88" i="6"/>
  <c r="D19" i="11" s="1"/>
  <c r="H81" i="6"/>
  <c r="G81" i="6"/>
  <c r="F81" i="6"/>
  <c r="H63" i="6"/>
  <c r="F11" i="11" s="1"/>
  <c r="F63" i="6"/>
  <c r="D11" i="11" s="1"/>
  <c r="H56" i="6"/>
  <c r="F10" i="11" s="1"/>
  <c r="G56" i="6"/>
  <c r="E10" i="11" s="1"/>
  <c r="F56" i="6"/>
  <c r="D10" i="11" s="1"/>
  <c r="H48" i="6"/>
  <c r="F9" i="11" s="1"/>
  <c r="G48" i="6"/>
  <c r="E9" i="11" s="1"/>
  <c r="F48" i="6"/>
  <c r="D9" i="11" s="1"/>
  <c r="H40" i="6"/>
  <c r="F8" i="11" s="1"/>
  <c r="G40" i="6"/>
  <c r="E8" i="11" s="1"/>
  <c r="F40" i="6"/>
  <c r="D8" i="11" s="1"/>
  <c r="H32" i="6"/>
  <c r="F7" i="11" s="1"/>
  <c r="G32" i="6"/>
  <c r="E7" i="11" s="1"/>
  <c r="F32" i="6"/>
  <c r="D7" i="11" s="1"/>
  <c r="H24" i="6"/>
  <c r="F6" i="11" s="1"/>
  <c r="G24" i="6"/>
  <c r="E6" i="11" s="1"/>
  <c r="F24" i="6"/>
  <c r="H17" i="6"/>
  <c r="G17" i="6"/>
  <c r="F17" i="6"/>
  <c r="D5" i="11" s="1"/>
  <c r="D6" i="11" l="1"/>
  <c r="G6" i="11" s="1"/>
  <c r="F68" i="6"/>
  <c r="D27" i="12"/>
  <c r="I27" i="12" s="1"/>
  <c r="F122" i="4"/>
  <c r="D79" i="12"/>
  <c r="C29" i="10" s="1"/>
  <c r="H29" i="10" s="1"/>
  <c r="E27" i="11"/>
  <c r="G139" i="6"/>
  <c r="E25" i="11"/>
  <c r="G107" i="6"/>
  <c r="G68" i="6"/>
  <c r="G69" i="6" s="1"/>
  <c r="F107" i="6"/>
  <c r="F140" i="6" s="1"/>
  <c r="I4" i="12"/>
  <c r="F32" i="4"/>
  <c r="F18" i="11"/>
  <c r="H107" i="6"/>
  <c r="E5" i="11"/>
  <c r="G19" i="11"/>
  <c r="F75" i="6"/>
  <c r="D15" i="11"/>
  <c r="D16" i="11" s="1"/>
  <c r="F5" i="11"/>
  <c r="G5" i="11" s="1"/>
  <c r="I17" i="6"/>
  <c r="F147" i="6"/>
  <c r="D30" i="11"/>
  <c r="D31" i="11" s="1"/>
  <c r="G7" i="11"/>
  <c r="G11" i="11"/>
  <c r="G8" i="11"/>
  <c r="G9" i="11"/>
  <c r="G10" i="11"/>
  <c r="D28" i="11"/>
  <c r="C12" i="9" s="1"/>
  <c r="D84" i="12"/>
  <c r="G26" i="11"/>
  <c r="G27" i="11"/>
  <c r="I12" i="6"/>
  <c r="G4" i="11"/>
  <c r="D18" i="11"/>
  <c r="D23" i="11" s="1"/>
  <c r="E18" i="11"/>
  <c r="E23" i="11" s="1"/>
  <c r="G25" i="11"/>
  <c r="F28" i="11"/>
  <c r="E12" i="9" s="1"/>
  <c r="O7" i="9" s="1"/>
  <c r="F31" i="11"/>
  <c r="E15" i="9" s="1"/>
  <c r="G75" i="6"/>
  <c r="E15" i="11"/>
  <c r="E16" i="11" s="1"/>
  <c r="G147" i="6"/>
  <c r="E31" i="11"/>
  <c r="D65" i="12"/>
  <c r="C21" i="10" s="1"/>
  <c r="D16" i="12"/>
  <c r="I16" i="12" s="1"/>
  <c r="H16" i="10"/>
  <c r="D14" i="12"/>
  <c r="C6" i="10" s="1"/>
  <c r="F359" i="4"/>
  <c r="D92" i="12"/>
  <c r="C33" i="10" s="1"/>
  <c r="G26" i="10"/>
  <c r="K241" i="4"/>
  <c r="I56" i="12"/>
  <c r="D71" i="12"/>
  <c r="C25" i="10" s="1"/>
  <c r="C26" i="10" s="1"/>
  <c r="K7" i="8" s="1"/>
  <c r="D49" i="12"/>
  <c r="C13" i="10" s="1"/>
  <c r="F247" i="4"/>
  <c r="D60" i="12"/>
  <c r="D61" i="12" s="1"/>
  <c r="C20" i="10" s="1"/>
  <c r="D66" i="12"/>
  <c r="D67" i="12" s="1"/>
  <c r="C22" i="10" s="1"/>
  <c r="D73" i="12"/>
  <c r="I83" i="12"/>
  <c r="F16" i="11"/>
  <c r="D39" i="12"/>
  <c r="C9" i="10" s="1"/>
  <c r="I33" i="12"/>
  <c r="I34" i="12"/>
  <c r="I35" i="12"/>
  <c r="I36" i="12"/>
  <c r="I38" i="12"/>
  <c r="I48" i="12"/>
  <c r="I132" i="6"/>
  <c r="I135" i="6"/>
  <c r="I138" i="6"/>
  <c r="I74" i="6"/>
  <c r="I146" i="6"/>
  <c r="K132" i="4"/>
  <c r="F194" i="4"/>
  <c r="K80" i="4"/>
  <c r="I37" i="12"/>
  <c r="K171" i="4"/>
  <c r="D40" i="12"/>
  <c r="K20" i="4"/>
  <c r="D23" i="12"/>
  <c r="I23" i="12" s="1"/>
  <c r="D26" i="12"/>
  <c r="I26" i="12" s="1"/>
  <c r="I41" i="12"/>
  <c r="I42" i="12"/>
  <c r="I47" i="12"/>
  <c r="I46" i="12"/>
  <c r="I24" i="6"/>
  <c r="I32" i="6"/>
  <c r="I40" i="6"/>
  <c r="I48" i="6"/>
  <c r="I56" i="6"/>
  <c r="I63" i="6"/>
  <c r="I81" i="6"/>
  <c r="I88" i="6"/>
  <c r="K177" i="4"/>
  <c r="K188" i="4"/>
  <c r="K275" i="4"/>
  <c r="I129" i="6"/>
  <c r="K92" i="4"/>
  <c r="K95" i="4"/>
  <c r="K98" i="4"/>
  <c r="K137" i="4"/>
  <c r="K142" i="4"/>
  <c r="K147" i="4"/>
  <c r="K151" i="4"/>
  <c r="K156" i="4"/>
  <c r="K160" i="4"/>
  <c r="K358" i="4"/>
  <c r="K203" i="4"/>
  <c r="K219" i="4"/>
  <c r="K246" i="4"/>
  <c r="K252" i="4"/>
  <c r="K255" i="4"/>
  <c r="K264" i="4"/>
  <c r="K276" i="4"/>
  <c r="K284" i="4"/>
  <c r="K101" i="4"/>
  <c r="K105" i="4"/>
  <c r="K115" i="4"/>
  <c r="K118" i="4"/>
  <c r="K315" i="4"/>
  <c r="K26" i="4"/>
  <c r="K31" i="4"/>
  <c r="K36" i="4"/>
  <c r="K39" i="4"/>
  <c r="K42" i="4"/>
  <c r="K45" i="4"/>
  <c r="K48" i="4"/>
  <c r="I13" i="12" s="1"/>
  <c r="I14" i="12" s="1"/>
  <c r="K62" i="4"/>
  <c r="K333" i="4"/>
  <c r="K310" i="4"/>
  <c r="H68" i="6"/>
  <c r="H69" i="6" s="1"/>
  <c r="H75" i="6"/>
  <c r="H147" i="6"/>
  <c r="F189" i="4"/>
  <c r="F49" i="4"/>
  <c r="F199" i="4"/>
  <c r="H139" i="6"/>
  <c r="C11" i="9" l="1"/>
  <c r="C13" i="9" s="1"/>
  <c r="D7" i="8" s="1"/>
  <c r="D29" i="11"/>
  <c r="D11" i="9"/>
  <c r="D13" i="11"/>
  <c r="D14" i="11" s="1"/>
  <c r="G140" i="6"/>
  <c r="H140" i="6"/>
  <c r="F69" i="6"/>
  <c r="O7" i="8"/>
  <c r="K25" i="8"/>
  <c r="K26" i="8" s="1"/>
  <c r="I79" i="12"/>
  <c r="F205" i="4"/>
  <c r="M205" i="4" s="1"/>
  <c r="F17" i="11"/>
  <c r="E8" i="9"/>
  <c r="E17" i="11"/>
  <c r="D8" i="9"/>
  <c r="D9" i="9" s="1"/>
  <c r="E6" i="8" s="1"/>
  <c r="E32" i="11"/>
  <c r="D15" i="9"/>
  <c r="D16" i="9" s="1"/>
  <c r="E8" i="8" s="1"/>
  <c r="D32" i="11"/>
  <c r="C15" i="9"/>
  <c r="C16" i="9" s="1"/>
  <c r="D8" i="8" s="1"/>
  <c r="D17" i="11"/>
  <c r="C8" i="9"/>
  <c r="C9" i="9" s="1"/>
  <c r="D6" i="8" s="1"/>
  <c r="F360" i="4"/>
  <c r="E28" i="11"/>
  <c r="D12" i="9" s="1"/>
  <c r="C23" i="10"/>
  <c r="K6" i="8" s="1"/>
  <c r="E13" i="11"/>
  <c r="D8" i="12"/>
  <c r="C5" i="10" s="1"/>
  <c r="F14" i="10"/>
  <c r="N5" i="8" s="1"/>
  <c r="G18" i="11"/>
  <c r="F13" i="11"/>
  <c r="F23" i="11"/>
  <c r="F29" i="11" s="1"/>
  <c r="D86" i="12"/>
  <c r="C31" i="10" s="1"/>
  <c r="H31" i="10" s="1"/>
  <c r="I84" i="12"/>
  <c r="D75" i="12"/>
  <c r="I73" i="12"/>
  <c r="G76" i="6"/>
  <c r="F76" i="6"/>
  <c r="D68" i="12"/>
  <c r="I57" i="12"/>
  <c r="G148" i="6"/>
  <c r="G28" i="11"/>
  <c r="G15" i="11"/>
  <c r="F148" i="6"/>
  <c r="I107" i="6"/>
  <c r="E14" i="10"/>
  <c r="M5" i="8" s="1"/>
  <c r="G30" i="11"/>
  <c r="F32" i="11"/>
  <c r="G31" i="11"/>
  <c r="D22" i="12"/>
  <c r="C7" i="10" s="1"/>
  <c r="H7" i="10" s="1"/>
  <c r="I147" i="6"/>
  <c r="I91" i="12"/>
  <c r="I92" i="12"/>
  <c r="I49" i="12"/>
  <c r="H11" i="10"/>
  <c r="H13" i="10"/>
  <c r="H21" i="10"/>
  <c r="E34" i="10"/>
  <c r="M8" i="8" s="1"/>
  <c r="E23" i="10"/>
  <c r="M6" i="8" s="1"/>
  <c r="H6" i="10"/>
  <c r="H12" i="10"/>
  <c r="E26" i="10"/>
  <c r="M7" i="8" s="1"/>
  <c r="K122" i="4"/>
  <c r="I66" i="12"/>
  <c r="I59" i="12"/>
  <c r="I58" i="12"/>
  <c r="F26" i="10"/>
  <c r="N7" i="8" s="1"/>
  <c r="K337" i="4"/>
  <c r="H26" i="10"/>
  <c r="D72" i="12"/>
  <c r="I72" i="12" s="1"/>
  <c r="I71" i="12"/>
  <c r="I67" i="12"/>
  <c r="K265" i="4"/>
  <c r="H22" i="10"/>
  <c r="K242" i="4"/>
  <c r="H19" i="10"/>
  <c r="K84" i="4"/>
  <c r="F23" i="10"/>
  <c r="N6" i="8" s="1"/>
  <c r="K359" i="4"/>
  <c r="H33" i="10"/>
  <c r="K225" i="4"/>
  <c r="I60" i="12"/>
  <c r="I65" i="12"/>
  <c r="F34" i="10"/>
  <c r="N8" i="8" s="1"/>
  <c r="H25" i="10"/>
  <c r="K328" i="4"/>
  <c r="H30" i="10"/>
  <c r="K289" i="4"/>
  <c r="K247" i="4"/>
  <c r="I61" i="12"/>
  <c r="H9" i="10"/>
  <c r="I75" i="6"/>
  <c r="G16" i="11"/>
  <c r="F12" i="9"/>
  <c r="I44" i="12"/>
  <c r="I32" i="12"/>
  <c r="I39" i="12"/>
  <c r="D31" i="12"/>
  <c r="C8" i="10" s="1"/>
  <c r="D43" i="12"/>
  <c r="I40" i="12"/>
  <c r="K194" i="4"/>
  <c r="I45" i="12"/>
  <c r="I139" i="6"/>
  <c r="I68" i="6"/>
  <c r="K259" i="4"/>
  <c r="K49" i="4"/>
  <c r="K161" i="4"/>
  <c r="K199" i="4"/>
  <c r="K204" i="4"/>
  <c r="K189" i="4"/>
  <c r="K32" i="4"/>
  <c r="H148" i="6"/>
  <c r="H76" i="6"/>
  <c r="F266" i="4"/>
  <c r="I207" i="6"/>
  <c r="E29" i="11" l="1"/>
  <c r="F149" i="6"/>
  <c r="F8" i="15"/>
  <c r="P7" i="8"/>
  <c r="D13" i="9"/>
  <c r="E7" i="8" s="1"/>
  <c r="E5" i="9"/>
  <c r="F14" i="11"/>
  <c r="D5" i="9"/>
  <c r="E14" i="11"/>
  <c r="D33" i="11"/>
  <c r="C5" i="9"/>
  <c r="G32" i="11"/>
  <c r="H149" i="6"/>
  <c r="H152" i="6" s="1"/>
  <c r="G149" i="6"/>
  <c r="G152" i="6" s="1"/>
  <c r="I69" i="6"/>
  <c r="F361" i="4"/>
  <c r="P26" i="8"/>
  <c r="P25" i="8"/>
  <c r="H8" i="10"/>
  <c r="J8" i="10"/>
  <c r="N9" i="8"/>
  <c r="N11" i="8" s="1"/>
  <c r="N29" i="8" s="1"/>
  <c r="I193" i="6"/>
  <c r="I43" i="12"/>
  <c r="C10" i="10"/>
  <c r="H10" i="10" s="1"/>
  <c r="I75" i="12"/>
  <c r="C28" i="10"/>
  <c r="H28" i="10" s="1"/>
  <c r="G23" i="11"/>
  <c r="E11" i="9"/>
  <c r="E13" i="9" s="1"/>
  <c r="F7" i="8" s="1"/>
  <c r="G7" i="8" s="1"/>
  <c r="H17" i="10"/>
  <c r="G14" i="10"/>
  <c r="D93" i="12"/>
  <c r="I93" i="12" s="1"/>
  <c r="I86" i="12"/>
  <c r="D50" i="12"/>
  <c r="H5" i="10"/>
  <c r="I8" i="12"/>
  <c r="I22" i="12"/>
  <c r="G13" i="11"/>
  <c r="F15" i="9"/>
  <c r="E16" i="9"/>
  <c r="I148" i="6"/>
  <c r="I68" i="12"/>
  <c r="E35" i="10"/>
  <c r="F35" i="10"/>
  <c r="F48" i="10" s="1"/>
  <c r="F49" i="10" s="1"/>
  <c r="G34" i="10"/>
  <c r="H20" i="10"/>
  <c r="I76" i="6"/>
  <c r="G17" i="11"/>
  <c r="E9" i="9"/>
  <c r="F6" i="8" s="1"/>
  <c r="F8" i="9"/>
  <c r="G24" i="8"/>
  <c r="I31" i="12"/>
  <c r="I123" i="14"/>
  <c r="I140" i="6"/>
  <c r="K205" i="4"/>
  <c r="K360" i="4"/>
  <c r="F152" i="6" l="1"/>
  <c r="E33" i="11"/>
  <c r="H153" i="6"/>
  <c r="E111" i="13"/>
  <c r="E112" i="13" s="1"/>
  <c r="G153" i="6"/>
  <c r="F5" i="9"/>
  <c r="L5" i="9"/>
  <c r="D6" i="9"/>
  <c r="E5" i="8" s="1"/>
  <c r="J5" i="9"/>
  <c r="C6" i="9"/>
  <c r="D5" i="8" s="1"/>
  <c r="F33" i="11"/>
  <c r="G14" i="11"/>
  <c r="O5" i="9"/>
  <c r="E6" i="9"/>
  <c r="F111" i="13"/>
  <c r="F112" i="13" s="1"/>
  <c r="O8" i="8"/>
  <c r="F11" i="9"/>
  <c r="O6" i="9"/>
  <c r="O5" i="8"/>
  <c r="F6" i="15" s="1"/>
  <c r="C34" i="10"/>
  <c r="K8" i="8" s="1"/>
  <c r="C14" i="10"/>
  <c r="K5" i="8" s="1"/>
  <c r="F16" i="9"/>
  <c r="F8" i="8"/>
  <c r="G8" i="8" s="1"/>
  <c r="F9" i="9"/>
  <c r="G6" i="8"/>
  <c r="D94" i="12"/>
  <c r="G29" i="11"/>
  <c r="I149" i="6"/>
  <c r="M9" i="8"/>
  <c r="M11" i="8" s="1"/>
  <c r="I50" i="12"/>
  <c r="I227" i="14"/>
  <c r="J370" i="4" l="1"/>
  <c r="K483" i="7"/>
  <c r="I483" i="7"/>
  <c r="H372" i="4"/>
  <c r="H373" i="4" s="1"/>
  <c r="F153" i="6"/>
  <c r="D111" i="13"/>
  <c r="D112" i="13" s="1"/>
  <c r="D113" i="13" s="1"/>
  <c r="H524" i="7"/>
  <c r="H528" i="7" s="1"/>
  <c r="O8" i="9"/>
  <c r="E35" i="11"/>
  <c r="E36" i="11" s="1"/>
  <c r="E37" i="11" s="1"/>
  <c r="F9" i="15"/>
  <c r="P8" i="8"/>
  <c r="F6" i="9"/>
  <c r="E17" i="9"/>
  <c r="F5" i="8"/>
  <c r="D9" i="8"/>
  <c r="C17" i="9"/>
  <c r="E9" i="8"/>
  <c r="D17" i="9"/>
  <c r="I152" i="6"/>
  <c r="F35" i="11"/>
  <c r="F36" i="11" s="1"/>
  <c r="F37" i="11" s="1"/>
  <c r="P5" i="8"/>
  <c r="F13" i="9"/>
  <c r="H34" i="10"/>
  <c r="C35" i="10"/>
  <c r="H14" i="10"/>
  <c r="G33" i="11"/>
  <c r="I94" i="12"/>
  <c r="K370" i="4" l="1"/>
  <c r="J372" i="4"/>
  <c r="J373" i="4" s="1"/>
  <c r="H100" i="12"/>
  <c r="G163" i="6"/>
  <c r="E43" i="11" s="1"/>
  <c r="H235" i="14"/>
  <c r="H237" i="14" s="1"/>
  <c r="F372" i="4"/>
  <c r="F373" i="4" s="1"/>
  <c r="L483" i="7"/>
  <c r="L481" i="7"/>
  <c r="M18" i="8"/>
  <c r="O18" i="8"/>
  <c r="F154" i="6"/>
  <c r="I524" i="7"/>
  <c r="I528" i="7" s="1"/>
  <c r="G112" i="13"/>
  <c r="D35" i="11"/>
  <c r="D36" i="11" s="1"/>
  <c r="D37" i="11" s="1"/>
  <c r="I153" i="6"/>
  <c r="G5" i="8"/>
  <c r="F17" i="9"/>
  <c r="K524" i="7"/>
  <c r="K528" i="7" s="1"/>
  <c r="F9" i="8"/>
  <c r="G9" i="8" s="1"/>
  <c r="K9" i="8"/>
  <c r="K11" i="8" s="1"/>
  <c r="G154" i="6"/>
  <c r="H238" i="14" l="1"/>
  <c r="H276" i="14" s="1"/>
  <c r="I237" i="14"/>
  <c r="H163" i="6"/>
  <c r="F43" i="11" s="1"/>
  <c r="G43" i="11" s="1"/>
  <c r="H102" i="12"/>
  <c r="F163" i="6"/>
  <c r="F164" i="6" s="1"/>
  <c r="F417" i="4"/>
  <c r="G164" i="6"/>
  <c r="G165" i="6" s="1"/>
  <c r="K18" i="8"/>
  <c r="P18" i="8" s="1"/>
  <c r="O20" i="8"/>
  <c r="D235" i="14"/>
  <c r="C19" i="9"/>
  <c r="F235" i="14"/>
  <c r="F237" i="14" s="1"/>
  <c r="F238" i="14" s="1"/>
  <c r="F276" i="14" s="1"/>
  <c r="G37" i="11"/>
  <c r="J417" i="4"/>
  <c r="H277" i="14" s="1"/>
  <c r="E113" i="13"/>
  <c r="K233" i="4"/>
  <c r="G23" i="10"/>
  <c r="I163" i="6" l="1"/>
  <c r="H164" i="6"/>
  <c r="K157" i="6"/>
  <c r="K159" i="6" s="1"/>
  <c r="N483" i="7" s="1"/>
  <c r="M373" i="4" s="1"/>
  <c r="L18" i="8"/>
  <c r="L20" i="8" s="1"/>
  <c r="L29" i="8" s="1"/>
  <c r="F121" i="13"/>
  <c r="E235" i="14"/>
  <c r="E237" i="14" s="1"/>
  <c r="E238" i="14" s="1"/>
  <c r="E276" i="14" s="1"/>
  <c r="D10" i="8"/>
  <c r="D11" i="8" s="1"/>
  <c r="F18" i="8"/>
  <c r="M20" i="8"/>
  <c r="M29" i="8" s="1"/>
  <c r="G528" i="7"/>
  <c r="F418" i="4" s="1"/>
  <c r="J418" i="4"/>
  <c r="E19" i="9"/>
  <c r="F10" i="8" s="1"/>
  <c r="O6" i="8"/>
  <c r="D19" i="9"/>
  <c r="E10" i="8" s="1"/>
  <c r="E11" i="8" s="1"/>
  <c r="H18" i="10"/>
  <c r="K266" i="4"/>
  <c r="F122" i="13" l="1"/>
  <c r="F123" i="13" s="1"/>
  <c r="G121" i="13"/>
  <c r="H165" i="6"/>
  <c r="I165" i="6" s="1"/>
  <c r="I164" i="6"/>
  <c r="L524" i="7"/>
  <c r="F19" i="8"/>
  <c r="E39" i="10"/>
  <c r="E40" i="10" s="1"/>
  <c r="E48" i="10" s="1"/>
  <c r="F103" i="12"/>
  <c r="F113" i="12" s="1"/>
  <c r="F114" i="12" s="1"/>
  <c r="D237" i="14"/>
  <c r="K372" i="4"/>
  <c r="H417" i="4"/>
  <c r="K20" i="8"/>
  <c r="P20" i="8" s="1"/>
  <c r="F7" i="15"/>
  <c r="P6" i="8"/>
  <c r="F11" i="8"/>
  <c r="G10" i="8"/>
  <c r="F19" i="9"/>
  <c r="G39" i="10"/>
  <c r="H103" i="12"/>
  <c r="C20" i="9"/>
  <c r="C21" i="9" s="1"/>
  <c r="D20" i="9"/>
  <c r="D21" i="9" s="1"/>
  <c r="H23" i="10"/>
  <c r="G35" i="10"/>
  <c r="K361" i="4"/>
  <c r="O9" i="8"/>
  <c r="P9" i="8" s="1"/>
  <c r="F165" i="6" l="1"/>
  <c r="F20" i="8"/>
  <c r="F29" i="8" s="1"/>
  <c r="E121" i="13"/>
  <c r="E122" i="13" s="1"/>
  <c r="E123" i="13" s="1"/>
  <c r="K373" i="4"/>
  <c r="G417" i="4"/>
  <c r="G418" i="4" s="1"/>
  <c r="E18" i="8"/>
  <c r="E19" i="8" s="1"/>
  <c r="E20" i="8" s="1"/>
  <c r="K29" i="8"/>
  <c r="D238" i="14"/>
  <c r="F277" i="14"/>
  <c r="H418" i="4"/>
  <c r="D39" i="10"/>
  <c r="D40" i="10" s="1"/>
  <c r="D48" i="10" s="1"/>
  <c r="E103" i="12"/>
  <c r="E113" i="12" s="1"/>
  <c r="E49" i="10"/>
  <c r="G11" i="8"/>
  <c r="F10" i="15"/>
  <c r="O11" i="8"/>
  <c r="H113" i="12"/>
  <c r="G40" i="10"/>
  <c r="H35" i="10"/>
  <c r="D121" i="13" l="1"/>
  <c r="D122" i="13" s="1"/>
  <c r="D123" i="13" s="1"/>
  <c r="D43" i="11"/>
  <c r="D44" i="11" s="1"/>
  <c r="C25" i="9" s="1"/>
  <c r="C26" i="9" s="1"/>
  <c r="D18" i="8"/>
  <c r="E29" i="8"/>
  <c r="E30" i="8" s="1"/>
  <c r="E277" i="14"/>
  <c r="D49" i="10"/>
  <c r="E114" i="12"/>
  <c r="I97" i="12"/>
  <c r="D276" i="14"/>
  <c r="I238" i="14"/>
  <c r="P11" i="8"/>
  <c r="O29" i="8"/>
  <c r="F30" i="8" s="1"/>
  <c r="G48" i="10"/>
  <c r="G49" i="10" s="1"/>
  <c r="H114" i="12"/>
  <c r="D19" i="8" l="1"/>
  <c r="G18" i="8"/>
  <c r="G122" i="13"/>
  <c r="D277" i="14"/>
  <c r="C39" i="10"/>
  <c r="D103" i="12"/>
  <c r="I102" i="12"/>
  <c r="D20" i="8" l="1"/>
  <c r="G19" i="8"/>
  <c r="C40" i="10"/>
  <c r="H39" i="10"/>
  <c r="D113" i="12"/>
  <c r="D114" i="12" s="1"/>
  <c r="I103" i="12"/>
  <c r="E20" i="9"/>
  <c r="G111" i="13"/>
  <c r="G20" i="8" l="1"/>
  <c r="D29" i="8"/>
  <c r="D30" i="8" s="1"/>
  <c r="C48" i="10"/>
  <c r="C49" i="10" s="1"/>
  <c r="H40" i="10"/>
  <c r="F20" i="9"/>
  <c r="E21" i="9"/>
  <c r="F113" i="13"/>
  <c r="H154" i="6"/>
  <c r="I154" i="6" s="1"/>
  <c r="G35" i="11"/>
  <c r="F21" i="9" l="1"/>
  <c r="G113" i="13"/>
  <c r="G36" i="11" l="1"/>
  <c r="I28" i="27" l="1"/>
  <c r="I27" i="27"/>
  <c r="I30" i="27"/>
  <c r="F209" i="6"/>
  <c r="F210" i="6" s="1"/>
  <c r="C34" i="9" l="1"/>
  <c r="D54" i="11"/>
  <c r="C35" i="9" l="1"/>
  <c r="G209" i="6"/>
  <c r="E44" i="11"/>
  <c r="D25" i="9" s="1"/>
  <c r="F44" i="11"/>
  <c r="E25" i="9" s="1"/>
  <c r="H209" i="6"/>
  <c r="H210" i="6" s="1"/>
  <c r="G210" i="6" l="1"/>
  <c r="G40" i="11"/>
  <c r="E54" i="11"/>
  <c r="D26" i="9" l="1"/>
  <c r="D34" i="9" s="1"/>
  <c r="D35" i="9" s="1"/>
  <c r="E26" i="9"/>
  <c r="F26" i="9" s="1"/>
  <c r="G44" i="11"/>
  <c r="F54" i="11"/>
  <c r="F25" i="9" l="1"/>
  <c r="E34" i="9" l="1"/>
  <c r="E35" i="9" s="1"/>
  <c r="D161" i="13"/>
  <c r="D55" i="11" l="1"/>
  <c r="D162" i="13"/>
  <c r="E161" i="13"/>
  <c r="F161" i="13"/>
  <c r="E55" i="11" l="1"/>
  <c r="E162" i="13"/>
  <c r="G123" i="13"/>
  <c r="F162" i="13"/>
  <c r="F5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tc={11156FC0-8D25-408B-9CA9-DCD286346205}</author>
  </authors>
  <commentList>
    <comment ref="N483" authorId="0" shapeId="0" xr:uid="{11156FC0-8D25-408B-9CA9-DCD286346205}">
      <text>
        <t>[Threaded comment]
Your version of Excel allows you to read this threaded comment; however, any edits to it will get removed if the file is opened in a newer version of Excel. Learn more: https://go.microsoft.com/fwlink/?linkid=870924
Comment:
    العجز هو 15.875 ولكن تم تخصيص مبلغ لتسديد سلفة وزارة المالية بشكل منفصل لذلك تم تخفيضه</t>
      </text>
    </comment>
  </commentList>
</comments>
</file>

<file path=xl/sharedStrings.xml><?xml version="1.0" encoding="utf-8"?>
<sst xmlns="http://schemas.openxmlformats.org/spreadsheetml/2006/main" count="1464" uniqueCount="691">
  <si>
    <t>النفقات</t>
  </si>
  <si>
    <t>رخص قواعد البيانات</t>
  </si>
  <si>
    <t>تطوير التقنيات المختلفة (خوادم، برمجيات ...)</t>
  </si>
  <si>
    <t>تطوير أجهزة وبرمجيات أنظمة الحماية وملحقاته</t>
  </si>
  <si>
    <t>التجهيزات المكتبية والأثاث</t>
  </si>
  <si>
    <t>تجهيز أرفف معدنية للمكتبة الهاشمية</t>
  </si>
  <si>
    <t>أجهزة وتجهيزات ونفقات تشغيل محطة إذاعة الجامعة</t>
  </si>
  <si>
    <t>أجهزة وتجهيزات خاصة بسكنات الطلبة</t>
  </si>
  <si>
    <t>مواد أولية</t>
  </si>
  <si>
    <t>آليات ومركبات مختلفة</t>
  </si>
  <si>
    <t>مبنى كلية الهندسة</t>
  </si>
  <si>
    <t>مبنى كلية إدارة المال والأعمال</t>
  </si>
  <si>
    <t>حفر بئر داخل الحرم الجامعي</t>
  </si>
  <si>
    <t>مشروع تطوير الملاعب الرياضية</t>
  </si>
  <si>
    <t>مشروع تغطية المسبح الاولمبي</t>
  </si>
  <si>
    <t>مشروع تنجيل ملعب كرة القدم ومضمار ألعاب القوى</t>
  </si>
  <si>
    <t>المشاريع الزراعية وخطوط المياه</t>
  </si>
  <si>
    <t>رواتب وعلاوات الهيئة التدريسية</t>
  </si>
  <si>
    <t>مكافآت هيئة التدريس للعمل الصيفي والاضافي</t>
  </si>
  <si>
    <t>مكافآت اساتذة دائمين ومؤقتين ومنتدبين</t>
  </si>
  <si>
    <t>بدل سكن لاعضاء هيئة التدريس</t>
  </si>
  <si>
    <t>مخصصات الشواغر والاحداثات لاعضاء الهيئة التدريسية</t>
  </si>
  <si>
    <t>مكافات هيئة التدريس / البرنامج الدولي</t>
  </si>
  <si>
    <t>مجموع (  الفصـــل  ) =</t>
  </si>
  <si>
    <t>رواتب الهيئة الادارية</t>
  </si>
  <si>
    <t>المكافآت والعمل الاضافي للهيئة الادارية</t>
  </si>
  <si>
    <t>مكافآت الاداريين المنتدبين</t>
  </si>
  <si>
    <t>مخصصات الشواغر والاحداثات لاعضاء الهيئة الادارية</t>
  </si>
  <si>
    <t>حوافز برنامج الموازي للهيئة التدريسية</t>
  </si>
  <si>
    <t>حوافز برنامج الموازي للموظفين</t>
  </si>
  <si>
    <t>احتياطي حوافز موازي هيئة تدريس</t>
  </si>
  <si>
    <t>احتياطي حوافز موازي للموظفين</t>
  </si>
  <si>
    <t>خدمات الامن والحراسة</t>
  </si>
  <si>
    <t>بدل وجبات الطعام للعسكريين</t>
  </si>
  <si>
    <t>استئجار عمال بالاجرة اليومية</t>
  </si>
  <si>
    <t>مساهمة الجامعة في صندوق الادخار</t>
  </si>
  <si>
    <t>مساهمة الجامعة في الضمان الاجتماعي</t>
  </si>
  <si>
    <t>مساهمة الجامعة في التامين الصحي للعاملين</t>
  </si>
  <si>
    <t>مساهمة الجامعة في التامين على حياة العاملين</t>
  </si>
  <si>
    <t>مساهمة الجامعة في مكافأة نهاية الخدمة للعاملين</t>
  </si>
  <si>
    <t>مواد ولوازم شعبة المفاتيح</t>
  </si>
  <si>
    <t>ملابس المستخدمين</t>
  </si>
  <si>
    <t>ملابس فرق عمادة شؤون الطلبة</t>
  </si>
  <si>
    <t>ملابس العلاقات العامه</t>
  </si>
  <si>
    <t>قرطاسية ولوازم مكتبية</t>
  </si>
  <si>
    <t>مواد تموينية للمطاعم والمقاصف</t>
  </si>
  <si>
    <t>جوائز ومكافئات تشجيعية</t>
  </si>
  <si>
    <t>نفقات التخريج</t>
  </si>
  <si>
    <t>دعم صندوق الطلبة</t>
  </si>
  <si>
    <t>التامين الصحي للطلبة</t>
  </si>
  <si>
    <t>التامين على حياة الطلبة</t>
  </si>
  <si>
    <t>الكتاب السنوي</t>
  </si>
  <si>
    <t>مجلة الشورى</t>
  </si>
  <si>
    <t>المساهمة في تدريس طلاب وزارة الصحة</t>
  </si>
  <si>
    <t>المساهمة في تدريس ذوي الاحتياجات الخاصة</t>
  </si>
  <si>
    <t>مساهمة الجامعة في موازنة مجلس الطلبة</t>
  </si>
  <si>
    <t>بدلات الاعتماد العام والخاص</t>
  </si>
  <si>
    <t>مياه</t>
  </si>
  <si>
    <t>كهرباء</t>
  </si>
  <si>
    <t>محروقات</t>
  </si>
  <si>
    <t>غاز</t>
  </si>
  <si>
    <t>نفايات</t>
  </si>
  <si>
    <t>بريد</t>
  </si>
  <si>
    <t>هاتف</t>
  </si>
  <si>
    <t>تأمين موجودات الجامعة</t>
  </si>
  <si>
    <t>تأمينات اخرى متفرقة</t>
  </si>
  <si>
    <t>نفقات الشحن والتخليص</t>
  </si>
  <si>
    <t>نفقات الوفود الرسميه والضيافه والحفلات والفنادق</t>
  </si>
  <si>
    <t>نفقات الضيافه للكليات والمعاهد والمراكز والدوائر</t>
  </si>
  <si>
    <t>نفقات ضيافة مجلس الامناء</t>
  </si>
  <si>
    <t>اعلانات</t>
  </si>
  <si>
    <t>رسوم اشتراك في خدمة الانترنت</t>
  </si>
  <si>
    <t>رسوم اشتراكات أخرى متفرقة ومتنوعة..</t>
  </si>
  <si>
    <t>رسوم اشتراك في شبكة الجامعات الاردنية</t>
  </si>
  <si>
    <t>لوازم ومشتريات ونفقات متنوعة</t>
  </si>
  <si>
    <t>مساهمه الجامعه في اتحاد الجامعات العربيه</t>
  </si>
  <si>
    <t>مساهمه الجامعه في اتحاد الجامعات للعالم الاسلامي</t>
  </si>
  <si>
    <t>مساهمة الجامعة في الاتحاد الرياضي للجامعات</t>
  </si>
  <si>
    <t>المساهمة في مقر الامانة لاتحاد الجامعات العربية</t>
  </si>
  <si>
    <t>مساهمه الجامعه في اتحاد رابطه الجامعات الاسلاميه</t>
  </si>
  <si>
    <t>المجلس العربي لتدريب طلاب الجامعات العربية</t>
  </si>
  <si>
    <t>مساهمات اخرى</t>
  </si>
  <si>
    <t>مساهمة الجامعة في مجلس التمريض الاردني</t>
  </si>
  <si>
    <t>المساهمة في دعم نادي العاملين في جامعة آل البيت</t>
  </si>
  <si>
    <t>المساهمة في منتدى الفكر العربي</t>
  </si>
  <si>
    <t>المساهمة في الجمعية العلمية لكليات التمريض العربية</t>
  </si>
  <si>
    <t>مساهمة الجامعة في المجلس الصحي العالي</t>
  </si>
  <si>
    <t>برنامج عدالة للمعلومات القانونية</t>
  </si>
  <si>
    <t>الجمعية الاردنية للبحث العلمي</t>
  </si>
  <si>
    <t>فوائد وعمولات مصرفية (مدينة)</t>
  </si>
  <si>
    <t>دعم البحوث العلمية</t>
  </si>
  <si>
    <t>دعم النشر</t>
  </si>
  <si>
    <t>دعم البحوث العلمية لطلبة الدراسات العليا</t>
  </si>
  <si>
    <t>رواتب اجازة التفرغ العلمي</t>
  </si>
  <si>
    <t>مناقشات الرسائل العلمية</t>
  </si>
  <si>
    <t>الدورات التدريبية</t>
  </si>
  <si>
    <t>منح طلبة الدراسات العليا</t>
  </si>
  <si>
    <t>نفقات السفر لحضور المؤتمرات العلمية والندوات</t>
  </si>
  <si>
    <t>مؤتمرات داخلية</t>
  </si>
  <si>
    <t>رسوم اشتراك في المؤتمرات والندوات</t>
  </si>
  <si>
    <t>مجلة البيان</t>
  </si>
  <si>
    <t>طباعة بحوث الموسم الثقافي</t>
  </si>
  <si>
    <t>مكافآت تقيم الابحاث للترقية</t>
  </si>
  <si>
    <t>المجلة الاردنية للدراسات الاسلامية</t>
  </si>
  <si>
    <t>مجلة الزهراء</t>
  </si>
  <si>
    <t>تجليد الكتب والدوريات</t>
  </si>
  <si>
    <t>نفقات الايفاد والبعثات العلمية</t>
  </si>
  <si>
    <t>التجهيزات المكتبية والاثاث</t>
  </si>
  <si>
    <t>رواتب وعلاوات أعضاء هيئة التدريس والمحاضرين المساعدين</t>
  </si>
  <si>
    <t>رواتب وعلاوات الهيئة الإدارية</t>
  </si>
  <si>
    <t>مجموع الفصل الأول: الرواتب والعلاوات والمكافآت</t>
  </si>
  <si>
    <t>مجموع الفصل الثاني: التعويضات والتأمينات للعاملين</t>
  </si>
  <si>
    <t>مواد ولوازم الصيانة العامة</t>
  </si>
  <si>
    <t xml:space="preserve">ملابس المستخدمين </t>
  </si>
  <si>
    <t>مجموع الفصل الثالث: اللوازم والمهمات والصيانة</t>
  </si>
  <si>
    <t>النشاطات الطلابية المختلفة ومستلزمات عمادة شؤون الطلبة</t>
  </si>
  <si>
    <t>دعم صناديق الطلبة</t>
  </si>
  <si>
    <t>التأمين الصحي للطلبة</t>
  </si>
  <si>
    <t>التأمين على حياة الطلبة</t>
  </si>
  <si>
    <t>المساهمة في تدريس أبناء الشهداء والمصابين العسكريين</t>
  </si>
  <si>
    <t>المساهمة في تدريس أبناء العاملين في الجامعات الحكومية</t>
  </si>
  <si>
    <t>المطبوعات والنشرات الطلابية</t>
  </si>
  <si>
    <t>مجموع الفصل الرابع: دعم الصناديق والخدمات والنشاطات الطلابية</t>
  </si>
  <si>
    <t>النفقات الاستهلاكية المشتركة</t>
  </si>
  <si>
    <t>تأمين موجودات الجامعة المنقولة وغير المنقولة</t>
  </si>
  <si>
    <t>نفقات الوفود الرسمية والضيافة</t>
  </si>
  <si>
    <t>نفقات الآليات والمركبات</t>
  </si>
  <si>
    <t>العقود والاشتراكات في شبكات المعلومات الدولية والمحلية</t>
  </si>
  <si>
    <t>اعلانات ومطبوعات والنشرات</t>
  </si>
  <si>
    <t>مجموع الفصل الخامس: النفقات العامة المشتركة</t>
  </si>
  <si>
    <t>مساهمةاتحادالجامعات العربية/جمعيةكليات الحاسبات والمعلومات</t>
  </si>
  <si>
    <t>مساهمة الجامعة في اتحاد الرابطة الدولية لرؤوساء الجامعات</t>
  </si>
  <si>
    <t>مساهمة الجامعة في هيئة اعتماد مؤسسات التعليم العالي</t>
  </si>
  <si>
    <t>المساهمة في مركز التميز للخدمات المكتبية الجامعية الرسمية</t>
  </si>
  <si>
    <t>مساهمة الجامعة في الاتحادات العربية والدولية</t>
  </si>
  <si>
    <t>مساهمة الجامعة في الروابط الجامعية العربية والدولية</t>
  </si>
  <si>
    <t>مساهمة الجامعة في النشاطات والخدمات الأخرى</t>
  </si>
  <si>
    <t>مجموع الفصل السادس: المساهمات</t>
  </si>
  <si>
    <t>الفوائد والعمولات المصرفية</t>
  </si>
  <si>
    <t>تسديد فوائد القروض</t>
  </si>
  <si>
    <t>تسديد فوائد قرض صندوق الادخار/جامعة ال البيت</t>
  </si>
  <si>
    <t>مجموع الباب الأول: النفقات المتكررة</t>
  </si>
  <si>
    <t>أجهزة وتجهيزات وحواسيب للتدريس والبحث العلمي</t>
  </si>
  <si>
    <t>مجموع الفصل السادس: أجهزة وتجهيزات وحواسيب للتدريس والبحث العلمي</t>
  </si>
  <si>
    <t>مجموع الباب الثاني: نفقات البحث العلمي</t>
  </si>
  <si>
    <t>نفقات البحث والتدريس (مواد بحثية وتعليمية، زجاجيات، كيماويات)</t>
  </si>
  <si>
    <t>نفقات البعثات العلمية</t>
  </si>
  <si>
    <t>مجموع الفصل الثاني: التجهيزات المكتبية والأثاث</t>
  </si>
  <si>
    <t>مشاريع مشروطة بالتمويل</t>
  </si>
  <si>
    <t>مجموع الباب الرابع: النفقات الرأسمالية</t>
  </si>
  <si>
    <t>رسوم الساعات المعتمدة/العادي</t>
  </si>
  <si>
    <t>خدمات جامعية/ العادي</t>
  </si>
  <si>
    <t>رسوم القبول/ العادي</t>
  </si>
  <si>
    <t>رسوم اخرى ومتنوعة / العادي</t>
  </si>
  <si>
    <t>رسوم الساعات المعتمدة/ المسائي</t>
  </si>
  <si>
    <t>خدمات جامعية/ المسائي</t>
  </si>
  <si>
    <t>رسوم اخرى ومتنوعة / المسائي</t>
  </si>
  <si>
    <t>رسوم الساعات المعتمدة/ الموازي</t>
  </si>
  <si>
    <t>خدمات جامعية/ الموازي</t>
  </si>
  <si>
    <t>رسوم القبول/ الموازي</t>
  </si>
  <si>
    <t>رسوم اخرى ومتنوعة / الموازي</t>
  </si>
  <si>
    <t>رسوم الساعات المعتمدة / ماجستير دولي</t>
  </si>
  <si>
    <t>خدمات جامعية / ماجستير دولي</t>
  </si>
  <si>
    <t>رسوم استخدام مصادر تعليمية / ماجستير دولي</t>
  </si>
  <si>
    <t>رسوم القبول / ماجستير دولي</t>
  </si>
  <si>
    <t>رسوم طلب الالتحاق / ماجستير دولي</t>
  </si>
  <si>
    <t>رسوم اخرى ومتنوعة / ماجستير دولي</t>
  </si>
  <si>
    <t>رسوم الساعات المعتمدة / ماجستير عادي</t>
  </si>
  <si>
    <t>خدمات جامعية / ماجستير عادي</t>
  </si>
  <si>
    <t>رسوم استخدام مصادر تعليمية / ماجستير عادي</t>
  </si>
  <si>
    <t>رسوم القبول / ماجستير عادي</t>
  </si>
  <si>
    <t>رسوم طلب الالتحاق / ماجستير عادي</t>
  </si>
  <si>
    <t>رسوم اخرى متنوعة / ماجستير عادي</t>
  </si>
  <si>
    <t>رسوم الساعات المعتمدة / دكتوراه دولي</t>
  </si>
  <si>
    <t>خدمات جامعية / دكتوراه دولي</t>
  </si>
  <si>
    <t>رسوم استخدام مصادر تعليمية/ دكتوراه دولي</t>
  </si>
  <si>
    <t>رسوم الساعات المعتمدة / دكتوراه عادي</t>
  </si>
  <si>
    <t>خدمات جامعية / دكتوراه عادي</t>
  </si>
  <si>
    <t>رسوم استخدام مصادر تعليمية / دكتوراه عادي</t>
  </si>
  <si>
    <t>رسوم القبول / دكتوراه عادي</t>
  </si>
  <si>
    <t>رسوم طلب الالتحاق / دكتوراه عادي</t>
  </si>
  <si>
    <t>رسوم اخرى ومتنوعة / دكتوراه عادي</t>
  </si>
  <si>
    <t>رسوم الساعات المعتمدة / دبلوم عالي</t>
  </si>
  <si>
    <t>خدمات جامعية / دبلوم عالي</t>
  </si>
  <si>
    <t>رسوم القبول / دبلوم عالي</t>
  </si>
  <si>
    <t>رسوم طلب الالتحاق / دبلوم عالي</t>
  </si>
  <si>
    <t>رسوم اخرى ومتنوعة / دبلوم عالي</t>
  </si>
  <si>
    <t>فوائد بنكية دائنة</t>
  </si>
  <si>
    <t>ايرادات سكن الطالبات</t>
  </si>
  <si>
    <t>ايرادات سكن العاملين</t>
  </si>
  <si>
    <t>ايرادات سكن السقاية والرفادة</t>
  </si>
  <si>
    <t>ايرادات الوحدات السكنية</t>
  </si>
  <si>
    <t>بدل ايجار مواقع خدمات التصوير والنسخ</t>
  </si>
  <si>
    <t>بدل ايجار مباني ومواقع أخرى ..</t>
  </si>
  <si>
    <t>ايراد بدل ايجار السوق التجاري</t>
  </si>
  <si>
    <t>بدل ايجار مبنى الصيدلية</t>
  </si>
  <si>
    <t>بدل تاجير مواقع بيع الكتب والمقررات الدراسية</t>
  </si>
  <si>
    <t>تاجير اراضي الجامعة / الطاقة الشمسية</t>
  </si>
  <si>
    <t>ايرادات شعبة النقل</t>
  </si>
  <si>
    <t>ايرادات اثمان نسخ عطاءات</t>
  </si>
  <si>
    <t>ايرادات واشتراك اصدارات الجامعة</t>
  </si>
  <si>
    <t>ايرادات اخرى متنوعه</t>
  </si>
  <si>
    <t>ايرادات الهاتف</t>
  </si>
  <si>
    <t>ايرادات عمادة شؤون الطلبة</t>
  </si>
  <si>
    <t>ايرادات سنوات سابقة</t>
  </si>
  <si>
    <t>ايرادات مبيعات منتجات الجامعة</t>
  </si>
  <si>
    <t>ايرادات الروب الجامعي</t>
  </si>
  <si>
    <t>ايرادات بدل غرامات مختلفة ومتنوعة</t>
  </si>
  <si>
    <t>ايرادات تحليل عينات /المختبرات المركزية</t>
  </si>
  <si>
    <t>ايرادات المشاغل</t>
  </si>
  <si>
    <t>ايرادات الكهرباء</t>
  </si>
  <si>
    <t>ايرادات الماء</t>
  </si>
  <si>
    <t>ايرادات مركز اللغات</t>
  </si>
  <si>
    <t>وحدة الدراسات العمانية</t>
  </si>
  <si>
    <t>التبرعات والمنح والهبات</t>
  </si>
  <si>
    <t>تسهيلات بنكية/جاري مدين</t>
  </si>
  <si>
    <t>العجز</t>
  </si>
  <si>
    <t>الرسوم الجامعية / النظام العادي</t>
  </si>
  <si>
    <t>الرسوم الجامعية / النظام المسائي</t>
  </si>
  <si>
    <t>الرسوم الجامعية / النظام الموازي</t>
  </si>
  <si>
    <t>الرسوم الجامعية / ماجستير دولي</t>
  </si>
  <si>
    <t>الرسوم الجامعية / ماجستير عادي</t>
  </si>
  <si>
    <t>الرسوم الجامعية / دكتوراة دولي</t>
  </si>
  <si>
    <t>الرسوم الجامعية / دكتوراة عادي</t>
  </si>
  <si>
    <t>الرسوم الجامعية / دبلوم عالي</t>
  </si>
  <si>
    <t>مجموع الفصل الأول: الرسوم الجامعية</t>
  </si>
  <si>
    <t>ايرادات بدل سكن المنازل الجامعية</t>
  </si>
  <si>
    <t>بدل ايجار مباني ومرافق الجامعة</t>
  </si>
  <si>
    <t>الإيرادات المتنوعة</t>
  </si>
  <si>
    <t>ايرادات مركز الاستشارات والخدمات الفنية وتنمية المجتمع</t>
  </si>
  <si>
    <t>إيرادات مركز اللغات</t>
  </si>
  <si>
    <t>الدعم الحكومي</t>
  </si>
  <si>
    <t>مجموع الفصل الأول: الدعم الحكومي</t>
  </si>
  <si>
    <t>مجموع الفصل الأول: التبرعات والمنح والهبات</t>
  </si>
  <si>
    <t>رسوم جامعية مستحقة</t>
  </si>
  <si>
    <t>ايرادات مركز الاستشارات والخدمات الفنية وتنمية</t>
  </si>
  <si>
    <t>رسوم القبول / دكتوراه دولي</t>
  </si>
  <si>
    <t>رسوم طلب الالتحاق / دكتوراه دولي</t>
  </si>
  <si>
    <t>رسوم اخرى ومتنوعة / دكتوراه دولي</t>
  </si>
  <si>
    <t>إيراد بدل ايجار مواقع مستحقة عن سنوات سابقة</t>
  </si>
  <si>
    <t>صيانة موقع الحوسبة الرئيسي وملحقاته</t>
  </si>
  <si>
    <t>صيانة الشبكة الحاسوبية</t>
  </si>
  <si>
    <t>صيانة الأجهزة الحاسوبية وملحقاتها</t>
  </si>
  <si>
    <t>مواد ولوازم صيانة طفايات الحريق</t>
  </si>
  <si>
    <t>أحبار</t>
  </si>
  <si>
    <t xml:space="preserve">مجلة المنارة </t>
  </si>
  <si>
    <t>رخص الانظمة الرئيسية وأمن المعلومات</t>
  </si>
  <si>
    <t>أجهزة وتجهيزات خاصة بجهات الجامعة المختلفة</t>
  </si>
  <si>
    <t>أجهزة حاسوب وطابعات وملحقاتها</t>
  </si>
  <si>
    <t xml:space="preserve">آليات زراعية  </t>
  </si>
  <si>
    <t>المساهمة في تدريس طلاب الديوان الملكي</t>
  </si>
  <si>
    <t xml:space="preserve">أرواب التخريج </t>
  </si>
  <si>
    <t>النشاطات والرحلات والندوات الطلابية وورش العمل والتدريب</t>
  </si>
  <si>
    <t xml:space="preserve">رخص متنوعة </t>
  </si>
  <si>
    <t>الأبنية</t>
  </si>
  <si>
    <t>الفصل الأول: الرواتب والعلاوات والمكافآت</t>
  </si>
  <si>
    <t>الفصل الثاني: التعويضات والتأمينات للعاملين</t>
  </si>
  <si>
    <t>الفصل الثالث: اللوازم والمهمات والصيانة</t>
  </si>
  <si>
    <t>الفصل الرابع: دعم الصناديق والخدمات والنشاطات الطلابية</t>
  </si>
  <si>
    <t>الفصل الخامس: النفقات العامة المشتركة</t>
  </si>
  <si>
    <t>الفصل السادس: المساهمات</t>
  </si>
  <si>
    <t>مجموع الفصل التاسع: الفوائد والعمولات المصرفية</t>
  </si>
  <si>
    <t>الفصل التاسع: الفوائد والعمولات المصرفية</t>
  </si>
  <si>
    <t>الباب الأول: النفقات المتكررة</t>
  </si>
  <si>
    <t>الفصل السادس: أجهزة وتجهيزات وحواسيب للتدريس والبحث العلمي</t>
  </si>
  <si>
    <t>الباب الثالث: نفقات البعثات العلمية والدورات التدريبية</t>
  </si>
  <si>
    <t>الباب الرابع: النفقات الرأسمالية</t>
  </si>
  <si>
    <t>مجموع الفصل الأول: رخص متنوعة وتطوير التقنيات المختلفة</t>
  </si>
  <si>
    <t>الفصل الأول: رخص متنوعة وتطوير التقنيات المختلفة</t>
  </si>
  <si>
    <t>مجموع الفصل الرابع: الأبنية والمشاريع الإنمائية</t>
  </si>
  <si>
    <t>الفصل الرابع: الأبنية والمشاريع الإنمائية</t>
  </si>
  <si>
    <t>مجموع الفصل السادس: نفقات الالتزامات الرأسمالية المدورة</t>
  </si>
  <si>
    <t>الفصل السادس: نفقات الالتزامات الرأسمالية المدورة</t>
  </si>
  <si>
    <t>نفقات التزامات رأسمالية مدورة</t>
  </si>
  <si>
    <t>الإيرادات</t>
  </si>
  <si>
    <t>مخصصات حوافز واحتياطي الموازي</t>
  </si>
  <si>
    <t>صيانة المختبرات العلمية وديمومة الأجهزة والبنية الحاسوبية</t>
  </si>
  <si>
    <t>اسمدة ومبيدات ولوازم زراعية</t>
  </si>
  <si>
    <t>مواد ولوازم النظافة العامة والوقاية الصحية</t>
  </si>
  <si>
    <t>قرطاسية وأحبار ولوازم مكتبية</t>
  </si>
  <si>
    <t>لوازم عامة</t>
  </si>
  <si>
    <t>أعلام ومستلزماتها</t>
  </si>
  <si>
    <t>مساهمة الجامعة في تطوير مكتب الإرشاد الوظيفي ومتابعة الخريجين</t>
  </si>
  <si>
    <t>جمعية كليات العلوم بالجامعات الأعضاء في اتحاد الجامعات العربية</t>
  </si>
  <si>
    <t xml:space="preserve">الباب الثاني: نفقات البحث العلمي </t>
  </si>
  <si>
    <t>الفصل الرابع: المجلات والمطبوعات العلمية والثقافية</t>
  </si>
  <si>
    <t>دعم بحوث ومنح طلبة الدراسات العليا</t>
  </si>
  <si>
    <t>مجموع الفصل الثاني: دعم بحوث ومنح طلبة الدراسات العليا</t>
  </si>
  <si>
    <t xml:space="preserve">الفصل الثالث: دعم المشاركة في المؤتمرات والندوات العلمية </t>
  </si>
  <si>
    <t>الفصل الثاني: دعم بحوث ومنح طلبة الدراسات العليا</t>
  </si>
  <si>
    <t>دعم البحث العلمي ودعم النشر ومكافآت تقييم الأبحات</t>
  </si>
  <si>
    <t xml:space="preserve">دعم المشاركة في المؤتمرات والندوات العلمية </t>
  </si>
  <si>
    <t xml:space="preserve">مجموع الفصل الثالث: دعم المشاركة في المؤتمرات والندوات العلمية </t>
  </si>
  <si>
    <t>المجلات والمطبوعات العلمية والثقافية</t>
  </si>
  <si>
    <t>مجموع الفصل الرابع: المجلات والمطبوعات العلمية والثقافية</t>
  </si>
  <si>
    <t>الفصل الخامس: نفقات التزامات البحث العلمي المدورة من سنوات سابقة</t>
  </si>
  <si>
    <t>نفقات التزامات البحث العلمي المدورة من سنوات سابقة</t>
  </si>
  <si>
    <t>مجموع الفصل الخامس: نفقات التزامات البحث العلمي المدورة من سنوات سابقة</t>
  </si>
  <si>
    <t>الفصل السابع: نفقات التزامات النفقات المتكررة المدورة من سنوات سابقة</t>
  </si>
  <si>
    <t>نفقات التزامات النفقات المتكررة المدورة من سنوات سابقة</t>
  </si>
  <si>
    <t>مجموع الفصل السابع: نفقات التزامات النفقات المتكررة المدورة من سنوات سابقة</t>
  </si>
  <si>
    <t>الفصل الأول: نفقات البعثات العلمية والدورات التدريبية</t>
  </si>
  <si>
    <t>مجموع الفصل الأول: نفقات البعثات العلمية والدورات التدريبية</t>
  </si>
  <si>
    <t>مجموع الباب الثالث: نفقات البعثات العلمية والدورات التدريبية</t>
  </si>
  <si>
    <t>تجهيزات وأدوات رياضية خاصة بتخصص التربية البدنية</t>
  </si>
  <si>
    <t>أجهزة وتجهيزات خاصة بسكن الطالبات</t>
  </si>
  <si>
    <t>اجهزة ومعدات خاصة بدائرة الهندسة والصيانة</t>
  </si>
  <si>
    <t>أجهزة ومعدات خاصة بدائرة الإنتاج والتصنيع</t>
  </si>
  <si>
    <t xml:space="preserve">الفصل الثالث: الآليات والأجهزة والمعدات </t>
  </si>
  <si>
    <t>أجهزة ومعدات للنظافة العامة والوقاية الصحية والسلامة العامة</t>
  </si>
  <si>
    <t xml:space="preserve">أجهزة ومعدات خاصة </t>
  </si>
  <si>
    <t xml:space="preserve">مجموع الفصل الثالث: الآليات والأجهزة والمعدات </t>
  </si>
  <si>
    <t>مواد ولوازم زراعية وتجميل الحرم الجامعي وصيانة شبكات وقطع غيار زراعية</t>
  </si>
  <si>
    <t>محروقات وزيوت للآليات والمركبات</t>
  </si>
  <si>
    <t>أجهزة وتجهيزات خاصة بقاعة استقبال وسكن الطبة الوافدين</t>
  </si>
  <si>
    <t>مواد أولية حاجة دائرة الهندسة والصيانة</t>
  </si>
  <si>
    <t>مواد أولية حاجة دائرة الإنتاج والتصنيع</t>
  </si>
  <si>
    <t>أجهزة ومعدات للمطبعة</t>
  </si>
  <si>
    <t>رسوم جامعية مستحقة (بكالوريوس عادي)</t>
  </si>
  <si>
    <t xml:space="preserve">رسوم جامعية مستحقة (البرامج الأخرى) </t>
  </si>
  <si>
    <t>رسوم طلبات الالتحاق/ العادي</t>
  </si>
  <si>
    <t>رسوم طلبات الالتحاق/ الموازي</t>
  </si>
  <si>
    <t>ايرادات سكن الطلاب</t>
  </si>
  <si>
    <t>الدعم الحكومي من الرسوم الجمركية والاضافية</t>
  </si>
  <si>
    <t>مساهمة وزارة التعليم العالي في المجلات العلمية</t>
  </si>
  <si>
    <t>توسعة وتطوير البنية التحتية وتأهيل أبنية قائمة</t>
  </si>
  <si>
    <t>أجهزة ومعدات وأنظمة الأمن والرقابة والحماية والإنذار</t>
  </si>
  <si>
    <t>إيراد بدل إيجار المطاعم</t>
  </si>
  <si>
    <t>إيراد بدل إيجار الكافتيريات</t>
  </si>
  <si>
    <t>إيراد بدل إيجار الأكشاك</t>
  </si>
  <si>
    <t>إيراد بدل إيجار أبراج الاتصالات</t>
  </si>
  <si>
    <t>إيرادات بدل ايجار مواقع مستحقة عن سنوات سابقة</t>
  </si>
  <si>
    <t>أجهزة وتجهيزات مشروطة بالتمويل</t>
  </si>
  <si>
    <t>أجهزة حاسوب وملحقاتها/ مشروطة بالتمويل</t>
  </si>
  <si>
    <t>أجهزة وتجهيزات خاصة بالمختبرات/ مشروطة بالتمويل</t>
  </si>
  <si>
    <t>أجهزة وتجهيزات متنوعة/ مشروطة بالتمويل</t>
  </si>
  <si>
    <t>تطوير وتأهيل البنية التحتية للشبكات المختلفة/ مشروطة بالتمويل</t>
  </si>
  <si>
    <t>اسم الجهة</t>
  </si>
  <si>
    <t>رمز الجهة</t>
  </si>
  <si>
    <t>رقم الحساب</t>
  </si>
  <si>
    <t>اسم الحساب</t>
  </si>
  <si>
    <t>دائرة مكتب الرئيس</t>
  </si>
  <si>
    <t>رواتب الهيئة الإدارية</t>
  </si>
  <si>
    <t>نفقات ضيافة مجلس الأمناء</t>
  </si>
  <si>
    <t>مجموع النفقات المتكررة للجهة</t>
  </si>
  <si>
    <t>المجموع الكلي لموازنة الجهة</t>
  </si>
  <si>
    <t>مجموع نفقات البحث العلمي للجهة</t>
  </si>
  <si>
    <t>مجموع النفقات الرأسمالية للجهة</t>
  </si>
  <si>
    <t>دائرة الشؤون الادارية</t>
  </si>
  <si>
    <t>دائرة امانة سر المجالس</t>
  </si>
  <si>
    <t>دائرة الشؤون القانونية</t>
  </si>
  <si>
    <t>كلية الشريعة</t>
  </si>
  <si>
    <t>كلية الآداب والعلوم الإنسانية</t>
  </si>
  <si>
    <t>كلية الامير الحسين بن عبدالله لتكنولوجيا المعلومات</t>
  </si>
  <si>
    <t>كلية الاميرة سلمى بنت عبدالله للتمريض</t>
  </si>
  <si>
    <t xml:space="preserve"> كلية العلوم التربوية</t>
  </si>
  <si>
    <t>كلية العلوم</t>
  </si>
  <si>
    <t>كلية القانون</t>
  </si>
  <si>
    <t>معهد علوم الارض  والبيئة</t>
  </si>
  <si>
    <t>معهد بيت الحكمة</t>
  </si>
  <si>
    <t>كلية الهندسة</t>
  </si>
  <si>
    <t>وحدة الدراسات العُمانية</t>
  </si>
  <si>
    <t>عمادة الدراسات العليا</t>
  </si>
  <si>
    <t>عمادة البحث العلمي</t>
  </si>
  <si>
    <t>المجلة الأردنية للدراسات الإسلامية</t>
  </si>
  <si>
    <t>عمادة شؤون الطلبة</t>
  </si>
  <si>
    <t>جوائز ومكافآت تشجيعية</t>
  </si>
  <si>
    <t>مركز الحاسوب</t>
  </si>
  <si>
    <t>رسوم اشتراك في خدمة الإنترنت</t>
  </si>
  <si>
    <t>رخص الانظمة الرئيسية وملحقاتها</t>
  </si>
  <si>
    <t>مركز اللغات</t>
  </si>
  <si>
    <t>مركز تطوير اداء اعضاء هيئة التدريس</t>
  </si>
  <si>
    <t>المركز الثقافي الاسلامي</t>
  </si>
  <si>
    <t>مركز بحوث الطاقة</t>
  </si>
  <si>
    <t>مركز التميز والابداع</t>
  </si>
  <si>
    <t>الدائرة المالية</t>
  </si>
  <si>
    <t>مجموع نفقات البعثات العلمية للجهة</t>
  </si>
  <si>
    <t>دائرة اللوازم والمشتريات</t>
  </si>
  <si>
    <t>دائرة القبول والتسجيل</t>
  </si>
  <si>
    <t>المكتبة الهاشمية</t>
  </si>
  <si>
    <t>الخدمات العامة ودوائرها المختلفة</t>
  </si>
  <si>
    <t>محروقات وزيوت للمركبات والآليات</t>
  </si>
  <si>
    <t>دائرة الهندسة والصيانة</t>
  </si>
  <si>
    <t>المتحف</t>
  </si>
  <si>
    <t>العطاءات المركزية</t>
  </si>
  <si>
    <t>دائرة الرقابة والتفتيش</t>
  </si>
  <si>
    <t>دائرة الامن الجامعي والسلامة العامة</t>
  </si>
  <si>
    <t>خدمات الأمن والحراسة</t>
  </si>
  <si>
    <t>دائرة صندوق الاستثمار</t>
  </si>
  <si>
    <t>دائرة الانتاج والتصنيع والتدريب</t>
  </si>
  <si>
    <t>ملحقات الرواتب</t>
  </si>
  <si>
    <t>مكافآت هيئة التدريس للعمل الصيفي والإضافي</t>
  </si>
  <si>
    <t>بدل سكن لأعضاء هيئة التدريس</t>
  </si>
  <si>
    <t>مكافآت هيئة التدريس / البرنامج الدولي</t>
  </si>
  <si>
    <t>المكافآت والعمل الإضافي للهيئة الإدارية</t>
  </si>
  <si>
    <t>مكافآت الإداريين المنتدبين</t>
  </si>
  <si>
    <t>مخصصات الشواغر والإحداثات</t>
  </si>
  <si>
    <t>مخصصات الشواغر والإحداثات لأعضاء الهيئة التدريسية</t>
  </si>
  <si>
    <t>التعويضات والتامينات</t>
  </si>
  <si>
    <t>مساهمة الجامعة في صندوق الإدخار</t>
  </si>
  <si>
    <t>مساهمة الجامعة في الضمان الإجتماعي</t>
  </si>
  <si>
    <t>النفقات العامة المشتركة</t>
  </si>
  <si>
    <t>رسوم اشتراكات أخرى متفرقة ومتنوعة</t>
  </si>
  <si>
    <t>المساهمات في الاتحادات الجامعية والدولية</t>
  </si>
  <si>
    <t>مساهمه الجامعه في اتحاد الجامعات للعالم الإسلامي</t>
  </si>
  <si>
    <t>مساهمة اتحاد الجامعات العربية/جمعية كليات الحاسبات والمعلومات</t>
  </si>
  <si>
    <t>المساهمة في مقر الأمانة لإتحاد الجامعات العربية</t>
  </si>
  <si>
    <t>مساهمه الجامعه في اتحاد رابطه الجامعات الإسلاميه</t>
  </si>
  <si>
    <t>مجموع العجز المتراكم من سنوات سابقة</t>
  </si>
  <si>
    <t>تسديد قرض صندوق الادخار/جامعة آل البيت</t>
  </si>
  <si>
    <t>تسديد فوائد قرض صندوق الادخار/جامعة آل البيت</t>
  </si>
  <si>
    <t>الموازنة المشروطة بالتمويل</t>
  </si>
  <si>
    <t>رخص برمجيات مايكروسوفت</t>
  </si>
  <si>
    <t>مركز بحوث المياه والمناطق الجافة</t>
  </si>
  <si>
    <t>اجهزة ومعدات حاجة دائرة الهندسة والصيانة</t>
  </si>
  <si>
    <t>أجهزة ومعدات حاجة دائرة الإنتاج والتصنيع</t>
  </si>
  <si>
    <t xml:space="preserve">مجموع النفقات المتكررة </t>
  </si>
  <si>
    <t xml:space="preserve">مجموع نفقات البحث العلمي </t>
  </si>
  <si>
    <t xml:space="preserve">مجموع نفقات البعثات العلمية </t>
  </si>
  <si>
    <t xml:space="preserve">مجموع النفقات الرأسمالية </t>
  </si>
  <si>
    <t>دائرة ضمان الجودة والتخطيط</t>
  </si>
  <si>
    <t>مركز الاستشارات والخدمات الفنية</t>
  </si>
  <si>
    <t>مجموع الفصل الخامس: الأشغال والمرافق العامة</t>
  </si>
  <si>
    <t xml:space="preserve">الفصل الخامس: الأشغال والمرافق العامة </t>
  </si>
  <si>
    <t>الفصل الأول: الرسوم الجامعية</t>
  </si>
  <si>
    <t>الفصل الأول: الدعم الحكومي</t>
  </si>
  <si>
    <t>الفصل الأول: التبرعات والمنح والهبات</t>
  </si>
  <si>
    <t>نفقات السفر لحضورمؤتمرات علمية وندوات</t>
  </si>
  <si>
    <t>رمز الفصل الفرعي</t>
  </si>
  <si>
    <t>أجور ومكافآت واستئجار خدمات</t>
  </si>
  <si>
    <t>مادة ملغية نهائياً</t>
  </si>
  <si>
    <t>معهد الدراسات الإسلامية</t>
  </si>
  <si>
    <t>المجموع العام للموازنة قبل المشروطة بالتمويل</t>
  </si>
  <si>
    <t>رقم الباب</t>
  </si>
  <si>
    <t>اسم الباب</t>
  </si>
  <si>
    <t xml:space="preserve">الباب الأول </t>
  </si>
  <si>
    <t>النفقات المتكررة</t>
  </si>
  <si>
    <t>الباب الثاني</t>
  </si>
  <si>
    <t>نفقات البحث العلمي</t>
  </si>
  <si>
    <t>الباب الثالث</t>
  </si>
  <si>
    <t>الباب الرابع</t>
  </si>
  <si>
    <t>النفقات الرأسمالية</t>
  </si>
  <si>
    <t>الفصل الثاني: التجهيزات المكتبية والأثاث</t>
  </si>
  <si>
    <t>التزامات نفقات متكررة مدورة / حجوزات  من سنوات سابقة</t>
  </si>
  <si>
    <t>التزامات نفقات بحث علمي مدورة / حجوزات من سنوات سابقة</t>
  </si>
  <si>
    <t>التزامات نفقات رأسمالية مدورة / حجوزات من سنوات سابقة</t>
  </si>
  <si>
    <t>التزامات نفقات متكررة مدورة / حجوزات من سنوات سابقة</t>
  </si>
  <si>
    <t>مشروع بناء ملحق كلية التمريض/ المرحلة الأولى</t>
  </si>
  <si>
    <t>صيانة أجهزة المختبرات العلمية</t>
  </si>
  <si>
    <t>الإشراف على الرسائل العلمية</t>
  </si>
  <si>
    <t>استئجار آليات ومعدات مختلفة</t>
  </si>
  <si>
    <t>إيرادات بدل اشتراكات التأمين الصحي للعاملين</t>
  </si>
  <si>
    <t>نفقات الإلتزامات المدورة من سنوات سابقة</t>
  </si>
  <si>
    <t>الفصول الفرعية المُدرجة تحت الفصل</t>
  </si>
  <si>
    <t>الباب/ الفصول المدرجة تحت الباب</t>
  </si>
  <si>
    <t>تشييك العمل</t>
  </si>
  <si>
    <t>مشروع تجهيز الاستاد الرياضي (ملعب كرة القدم وألعاب القوى)</t>
  </si>
  <si>
    <t>تأهيل مسابح الجامعة/ المسبح الأولمبي</t>
  </si>
  <si>
    <t>مبنى مركز الحاسوب/ مشروطة بالتمويل</t>
  </si>
  <si>
    <t>بناء مستودع كلية العلوم/ مشروطة بالتمويل</t>
  </si>
  <si>
    <t>بناء هنجر للمستودعات الرئيسية/ مشروطة بالتمويل</t>
  </si>
  <si>
    <t>مجمع القاعات التدريسية وقاعة المؤتمرات/ مشروطة بالتمويل</t>
  </si>
  <si>
    <t>جمنازيوم رياضي متعدد الأغراض (تربية بدنية)/ مشروطة بالتمويل</t>
  </si>
  <si>
    <t>أرباح مشروع الطاقة الشمسية</t>
  </si>
  <si>
    <t>كلية علوم الطيران</t>
  </si>
  <si>
    <t>أجهزة وتجهيزات للمقسم</t>
  </si>
  <si>
    <t>أجهزة وتجهيزات خاصة بالقاعات التدريسية</t>
  </si>
  <si>
    <t>مركز احياء التراث الاسلامي</t>
  </si>
  <si>
    <t>آليات زراعية</t>
  </si>
  <si>
    <t>تأهيل مسابح الجامعة والمسبح الأولمبي/ مشروطة بالتمويل</t>
  </si>
  <si>
    <t>أجهزة وتجهيزات للمركز الصحي داخل الجامعة</t>
  </si>
  <si>
    <t xml:space="preserve">اسمدة ومبيدات ومستلزمات زراعية </t>
  </si>
  <si>
    <t>مساهمة الجامعة في تدريس طلاب الجامعة (نفقة الجامعة)</t>
  </si>
  <si>
    <t>إيرادات وأرباح مشروع الطاقة الشمسية</t>
  </si>
  <si>
    <t>إعداد المخططات الأولية</t>
  </si>
  <si>
    <t>PADILEIA - Partnership for Digital Learning &amp; Increased Access</t>
  </si>
  <si>
    <t xml:space="preserve">كتب ودوريات وقواعد بيانات الورقية والالكترونية </t>
  </si>
  <si>
    <t>الكتب والدوريات الورقية والالكترونية</t>
  </si>
  <si>
    <t xml:space="preserve">مجموع الفصل السابع: الكتب والدوريات الورقية والالكترونية </t>
  </si>
  <si>
    <t>الفصل السابع: الكتب والدوريات الورقية والالكترونية</t>
  </si>
  <si>
    <t>ملاحظات حول مشروع موازنة الجامعة 2018</t>
  </si>
  <si>
    <t>صيانة وعقود صيانة أجهزة المختبرات العلمية</t>
  </si>
  <si>
    <t>مجلة المنارة (طباعة,تجليد,مكافأت)</t>
  </si>
  <si>
    <t xml:space="preserve">مركز دراسات العالم الاسلامي </t>
  </si>
  <si>
    <t>صحف ومجلات ومطبوعات</t>
  </si>
  <si>
    <t>أجهزة وتجهيزات وأثاث مبنى كلية الاقتصاد الجديد</t>
  </si>
  <si>
    <t>اجهزه وتجهيزات وحواسيب وبرمجيات للتدريس والبحث العلمي (المختبرات)</t>
  </si>
  <si>
    <t>أجهزة وتجهيزات وأثاث مبنى كلية الهندسة الجديد</t>
  </si>
  <si>
    <t>أجهزة وتجهيزات وأثاث مبنى كلية التمريض الجديد</t>
  </si>
  <si>
    <t xml:space="preserve">صيانة وعقود صيانة أجهزة المختبرات العلمية  </t>
  </si>
  <si>
    <t>أجهزة وتجهيزات خاصة بأنشطة عمادة شؤون الطلبة وصالات الرياضة</t>
  </si>
  <si>
    <t>مواد تنظيف ومبيدات الوقاية الصحية وعقود النظافة العامة</t>
  </si>
  <si>
    <t>قطع غيار وإطارات وصيانة للآليات والمركبات</t>
  </si>
  <si>
    <t>مواد ولوازم وقطع غيار وصيانة الشبكات والآبار الارتوازية</t>
  </si>
  <si>
    <t>أجهزة ومعدات وماتورات خاصة بدائرة الزراعة</t>
  </si>
  <si>
    <t xml:space="preserve">خطوط مياه الري والشرب </t>
  </si>
  <si>
    <t>تطوير بركة الحصاد المائي (أجهزة ومعدات)</t>
  </si>
  <si>
    <t>تطوير محطة التنقية (أجهزة ومعدات)</t>
  </si>
  <si>
    <t>أشتال زراعية لتجميل الحرم الجامعي وحاجة مشتل نباتات الزينة</t>
  </si>
  <si>
    <t xml:space="preserve">مواد ولوازم وصيانة وعقود صيانة  المباني </t>
  </si>
  <si>
    <t xml:space="preserve">مواد ولوازم وقطع غيار وعقود صيانة التجهيزات والأجهزة والمعدات </t>
  </si>
  <si>
    <t>إعداد المخططات الأولية لمشاريع وأبنية مستقبلية وأجهزة للمرسم الهندسي</t>
  </si>
  <si>
    <t>تطوير وتوسعة البنية التحتية (طرق وأرصفة وساحات وأعمال مختلفة)</t>
  </si>
  <si>
    <t xml:space="preserve">كتب ودوريات وقواعد البيانات الورقية والالكترونية </t>
  </si>
  <si>
    <t>أجهزة وتجهيزات وأثاث مبنى ملحق كلية التمريض الجديد</t>
  </si>
  <si>
    <t>مشروع الشبكة اللاسلكية</t>
  </si>
  <si>
    <t>ايرادات الاذاعة</t>
  </si>
  <si>
    <t>مكافات رئيس واعضاء مجلس الامناء</t>
  </si>
  <si>
    <t>ضريبة الدخل</t>
  </si>
  <si>
    <t xml:space="preserve">الرخصة الراديوية السنوية للإذاعة </t>
  </si>
  <si>
    <t>المشاركة في المعارض التعليمية مع الجامعات الاردنية</t>
  </si>
  <si>
    <t>جمعية كليات الحقوق في الجامعات العربية</t>
  </si>
  <si>
    <t>صيانة وتشغيل نظام الطاقة الشمسية</t>
  </si>
  <si>
    <t>دراسات اقتصادية واجتماعية وانشطة متنوعة</t>
  </si>
  <si>
    <t>ايرادات غرامات المجلات العلمية</t>
  </si>
  <si>
    <t>كشف التشابه في الابحاث والرسائل والاطروحات العلمية</t>
  </si>
  <si>
    <t>نظام النسخ الاحتياطي</t>
  </si>
  <si>
    <t>شهادات وحافظات تخرج</t>
  </si>
  <si>
    <t xml:space="preserve">مشروع المراسلات والأرشفة الالكترونية </t>
  </si>
  <si>
    <t>ايرادات النشر في المجلات العلمية</t>
  </si>
  <si>
    <t>انشاء محطة تحلية وتعقيم  للمياه</t>
  </si>
  <si>
    <t>كلية الاقتصاد والعلوم الادارية</t>
  </si>
  <si>
    <t>دائرة الموارد البشرية</t>
  </si>
  <si>
    <r>
      <t xml:space="preserve">الفصل الأول: دعم البحث العلمي ودعم النشر ومكافآت تقييم الأبحات </t>
    </r>
    <r>
      <rPr>
        <b/>
        <sz val="10"/>
        <color rgb="FFFF0000"/>
        <rFont val="Times New Roman"/>
        <family val="1"/>
        <scheme val="major"/>
      </rPr>
      <t>ومراقبة إعداد الرسائل العلمية</t>
    </r>
  </si>
  <si>
    <r>
      <t xml:space="preserve">مجموع الفصل الأول: دعم البحث العلمي ودعم النشر ومكافآت تقييم الأبحات </t>
    </r>
    <r>
      <rPr>
        <b/>
        <sz val="10"/>
        <color rgb="FFFF0000"/>
        <rFont val="Times New Roman"/>
        <family val="1"/>
        <scheme val="major"/>
      </rPr>
      <t>ومراقبة إعداد الرسائل العلمية</t>
    </r>
  </si>
  <si>
    <t>مراقبة إعداد الرسائل العلمية</t>
  </si>
  <si>
    <t>العجز المدور</t>
  </si>
  <si>
    <t>دمج</t>
  </si>
  <si>
    <t xml:space="preserve">قرار رفع الرسوم </t>
  </si>
  <si>
    <t>بدل رواتب موظفي صندوق الاستثمار وملحقاتها (نهاية الخدمة، الإدخار)</t>
  </si>
  <si>
    <t>صروفات إفرادية/ البرامج غير العادي</t>
  </si>
  <si>
    <t>صروفات إفرادية/ البكالوريوس العادي</t>
  </si>
  <si>
    <t>القيمة الإجمالية للقيود الآلية/ بكالوريوس عادي والبرامج غير العادي</t>
  </si>
  <si>
    <t>قيد آلي للجهات/ بكالوريوس عادي والبرامج غير العادي</t>
  </si>
  <si>
    <t>جهات الإيفاد على نفقة الجامعة</t>
  </si>
  <si>
    <t>القيمة الإجمالية للصروفات الإفرادية لطلبة جهات الإيفاد التي على نفقة الجامعة</t>
  </si>
  <si>
    <t>قيد آلي للجهات/ بكالوريوس عادي</t>
  </si>
  <si>
    <t>القيمة الإجمالية للقيد الآلي للجهات/ بكالوريوس عادي والبرامج غير العادي</t>
  </si>
  <si>
    <t>قيد آلي للجهات/ البرامج غير العادي</t>
  </si>
  <si>
    <t>المجاميع</t>
  </si>
  <si>
    <t>مجموع مساهمة الجامعة لكل جهة على نفقة الجامعة</t>
  </si>
  <si>
    <t>مساهمة الجامعة لكل جهة على نفقة الجامعة/ صروفات إفرادية للبرامج غير العادي</t>
  </si>
  <si>
    <t>مساهمة الجامعة لكل جهة على نفقة الجامعة/  قيد آلي للبكالوريوس العادي</t>
  </si>
  <si>
    <t>مساهمة الجامعة لكل جهة على نفقة الجامعة/  قيد آلي للبرامج غير العادي</t>
  </si>
  <si>
    <t>قيد آلي لكل جهة/ بكالوريوس عادي</t>
  </si>
  <si>
    <t>القيمة الإجمالية للصروفات الإفرادية للجهات/ بكالوريوس عادي والبرامج غير العادي</t>
  </si>
  <si>
    <t>قيد آلي لكل جهة/ الموازي</t>
  </si>
  <si>
    <t>قيد آلي لكل جهة/ ماجستير عادي</t>
  </si>
  <si>
    <t>قيد آلي لكل جهة/ ماجستير دولي</t>
  </si>
  <si>
    <t>قيد آلي لكل جهة/ دكتوراة عادي</t>
  </si>
  <si>
    <t>القيمة الإجمالية للقيود الآلية للجهات/ بكالوريوس عادي والبرامج غير العادي</t>
  </si>
  <si>
    <t>قيد آلي لكل جهة/ ماجستير خارج أوقات الدوام</t>
  </si>
  <si>
    <t>الجهة</t>
  </si>
  <si>
    <t>البرنامج</t>
  </si>
  <si>
    <t>المبلغ</t>
  </si>
  <si>
    <t>Grand Total</t>
  </si>
  <si>
    <t>قيد آلي لكل جهة/ دبلوم</t>
  </si>
  <si>
    <r>
      <rPr>
        <b/>
        <sz val="10"/>
        <color rgb="FFFF0000"/>
        <rFont val="Times New Roman"/>
        <family val="1"/>
        <scheme val="major"/>
      </rPr>
      <t>إيرادات ونفقات غير نقدية</t>
    </r>
    <r>
      <rPr>
        <b/>
        <sz val="10"/>
        <color theme="1"/>
        <rFont val="Times New Roman"/>
        <family val="1"/>
        <scheme val="major"/>
      </rPr>
      <t xml:space="preserve">
جهات الإيفاد على نفقة الجامعة</t>
    </r>
  </si>
  <si>
    <r>
      <t xml:space="preserve">القيمة الإجمالية لمساهمة الجامعة للبكالوريوس العادي
</t>
    </r>
    <r>
      <rPr>
        <sz val="10"/>
        <color rgb="FFFF0000"/>
        <rFont val="Times New Roman"/>
        <family val="1"/>
        <scheme val="major"/>
      </rPr>
      <t xml:space="preserve">إيرادات ونفقات غير نقدية يجب خصمها من الإيرادات النقدية </t>
    </r>
  </si>
  <si>
    <r>
      <t xml:space="preserve">مجموع مساهمة الجامعة لكل جهة على نفقة الجامعة
</t>
    </r>
    <r>
      <rPr>
        <sz val="10"/>
        <color rgb="FFFF0000"/>
        <rFont val="Times New Roman"/>
        <family val="1"/>
        <scheme val="major"/>
      </rPr>
      <t>إيرادات ونفقات غير نقدية</t>
    </r>
  </si>
  <si>
    <r>
      <t xml:space="preserve">القيمة الإجمالية لمساهمة الجامعة للبرامج غير العادي
</t>
    </r>
    <r>
      <rPr>
        <sz val="10"/>
        <color rgb="FFFF0000"/>
        <rFont val="Times New Roman"/>
        <family val="1"/>
        <scheme val="major"/>
      </rPr>
      <t xml:space="preserve">إيرادات ونفقات غير نقدية يجب خصمها من الإيرادات النقدية </t>
    </r>
    <r>
      <rPr>
        <sz val="10"/>
        <color theme="1"/>
        <rFont val="Times New Roman"/>
        <family val="1"/>
        <scheme val="major"/>
      </rPr>
      <t xml:space="preserve">
</t>
    </r>
    <r>
      <rPr>
        <sz val="10"/>
        <color rgb="FF0000CC"/>
        <rFont val="Times New Roman"/>
        <family val="1"/>
        <scheme val="major"/>
      </rPr>
      <t>إيرادات غير نقدية يجب خصمها من احتساب حصة الموازي</t>
    </r>
  </si>
  <si>
    <t>مساهمة الجامعة لكل جهة على نفقة الجامعة/ صروفات إفرادية للبكالوريوس عادي</t>
  </si>
  <si>
    <t>تم إدراج فصل مساهمة الجامعة في الرسوم الجامعية ضمن بنود النفقات والإيرادات غير النقدية بصورة منفصلة عن مشروع موازنة الجامعة 2020</t>
  </si>
  <si>
    <t>المجموع العام للنفقات بعد العجز المتراكم</t>
  </si>
  <si>
    <t xml:space="preserve">تطوير الموقع الالكتروني مركز الحاسوب /منحة تعليم عالي </t>
  </si>
  <si>
    <t>حسب كشف الموازي</t>
  </si>
  <si>
    <t>المساهمة في تدريس طلاب وزارة الصحة/ غير العادي</t>
  </si>
  <si>
    <t>المساهمة في تدريس طلاب الديوان الملكي/ العادي</t>
  </si>
  <si>
    <t>المساهمة في تدريس أبناء الشهداء والمصابين العسكريين/ العادي</t>
  </si>
  <si>
    <t>المساهمة في تدريس أبناء الشهداء والمصابين العسكريين/ غير العادي</t>
  </si>
  <si>
    <t>المساهمة في تدريس ذوي الاحتياجات الخاصة/ العادي</t>
  </si>
  <si>
    <t>المساهمة في تدريس ذوي الاحتياجات الخاصة/ غير العادي</t>
  </si>
  <si>
    <t>المساهمة في تدريس أبناء العاملين في الجامعات الحكومية/ العادي</t>
  </si>
  <si>
    <t>المساهمة في تدريس أبناء العاملين في الجامعات الحكومية/ غير العادي</t>
  </si>
  <si>
    <t>القيمة الحقيقية حسب الدفاتر النقدية وغير النقدية</t>
  </si>
  <si>
    <t>دائرة العلاقات  الدولية</t>
  </si>
  <si>
    <t>مشروع موازنة الجامعة/ الجهات</t>
  </si>
  <si>
    <t>أجهزة وتجهيزات وتطوير للمقسم</t>
  </si>
  <si>
    <t xml:space="preserve">دائرة العلاقات العامة والإعلام
سابقا:
دائرة الشؤون الثقافية والعلاقات العامة
</t>
  </si>
  <si>
    <t>دائرة الشؤون الاعلامية
تم دمج دائرة الشؤون الإعلامية مع دائرة الشؤون الثقافية والعلاقات العامة تحت مسمى:
دائرة العلاقات العامة والإعلام</t>
  </si>
  <si>
    <t>دائرة الزراعة والمياه والري
تم إلغاء دائرة الزراعة والمياه والري من الهيكل التنظيمي للجامعة وتم استحداث شعبتين للزراعة تحت دائرة الخدمات العامة</t>
  </si>
  <si>
    <t>المجموع العام للعجز المقدر بالموازنة</t>
  </si>
  <si>
    <t xml:space="preserve">المجموع العام لموازنة النفقات الرأسمالية </t>
  </si>
  <si>
    <t xml:space="preserve">المجموع العام لموازنة نفقات البعثات العلمية </t>
  </si>
  <si>
    <t xml:space="preserve">المجموع العام لموازنة نفقات البحث العلمي </t>
  </si>
  <si>
    <t xml:space="preserve">المجموع العام لموازنة النفقات المتكررة </t>
  </si>
  <si>
    <t>خلاصة مشروع الموازنة حسب تصنيف النفقات وحسب الأساس المحاسبي</t>
  </si>
  <si>
    <t>إجمالي حجوزات المتكررة</t>
  </si>
  <si>
    <t>إجمالي حجوزات الرأسمالية</t>
  </si>
  <si>
    <t>إجمالي حجوزات البحث</t>
  </si>
  <si>
    <t>مساهمة الجامعة في الرسوم الجامعية / جهات الإيفاد التي تتحمل نفقاتها الجامعة</t>
  </si>
  <si>
    <t>مشروع بناء كلية الهندسة/ مشروطة بالتمويل</t>
  </si>
  <si>
    <t>مشروع بناء ملحق كلية التمريض/ المرحلة الثانية/ مشروطة بالتمويل</t>
  </si>
  <si>
    <t>مشروع بناء كلية ادارة المال والاعمال/ مشروطة بالتمويل</t>
  </si>
  <si>
    <t>مشروع انشاء كلية طب/ مشروطة بالتمويل</t>
  </si>
  <si>
    <t>مشروع الشبكة اللاسلكية/ مشروطة بالتمويل</t>
  </si>
  <si>
    <t xml:space="preserve">مشروع المراسلات والأرشفة الالكترونية/ مشروطة بالتمويل </t>
  </si>
  <si>
    <t xml:space="preserve">هل هناك حاجة لتخصيص مبلغ لكلية التمريض (نفقة الجامعة) </t>
  </si>
  <si>
    <t>الأرصدة الفعلية- النقدية وغير النقدية</t>
  </si>
  <si>
    <t>موازنة التمويل</t>
  </si>
  <si>
    <t>المجموع العام للنفقات</t>
  </si>
  <si>
    <t>المصادر</t>
  </si>
  <si>
    <t>الاستخدامات</t>
  </si>
  <si>
    <t>مقدر</t>
  </si>
  <si>
    <t>مقدر بعد المناقلات</t>
  </si>
  <si>
    <t>فعلي</t>
  </si>
  <si>
    <t>محجوز</t>
  </si>
  <si>
    <t>المجموع العام للموازنة</t>
  </si>
  <si>
    <t>المجموع العام لموازنة التمويل</t>
  </si>
  <si>
    <t>نفقات الحسابات النظامية</t>
  </si>
  <si>
    <t>المجموع العام  للنفقات المشروطة بالتمويل</t>
  </si>
  <si>
    <t>موازنة الحسابات النظامية</t>
  </si>
  <si>
    <t>المساهمة في تدريس طلاب وزارة الصحة/ العادي</t>
  </si>
  <si>
    <r>
      <t xml:space="preserve">الفصل </t>
    </r>
    <r>
      <rPr>
        <b/>
        <sz val="10"/>
        <color rgb="FFFF0000"/>
        <rFont val="Times New Roman"/>
        <family val="1"/>
        <scheme val="major"/>
      </rPr>
      <t>الأول</t>
    </r>
    <r>
      <rPr>
        <b/>
        <sz val="10"/>
        <rFont val="Times New Roman"/>
        <family val="1"/>
        <scheme val="major"/>
      </rPr>
      <t>: ريع الأموال المنقولة وغير المنقولة</t>
    </r>
  </si>
  <si>
    <r>
      <t xml:space="preserve">مجموع الفصل </t>
    </r>
    <r>
      <rPr>
        <b/>
        <u/>
        <sz val="10"/>
        <color rgb="FFFF0000"/>
        <rFont val="Times New Roman"/>
        <family val="1"/>
        <scheme val="major"/>
      </rPr>
      <t>الأول</t>
    </r>
    <r>
      <rPr>
        <b/>
        <sz val="10"/>
        <rFont val="Times New Roman"/>
        <family val="1"/>
        <scheme val="major"/>
      </rPr>
      <t>: ريع الأموال المنقولة وغير المنقولة</t>
    </r>
  </si>
  <si>
    <r>
      <t xml:space="preserve">الباب </t>
    </r>
    <r>
      <rPr>
        <b/>
        <sz val="10"/>
        <color rgb="FFFF0000"/>
        <rFont val="Times New Roman"/>
        <family val="1"/>
        <scheme val="major"/>
      </rPr>
      <t>الرابع</t>
    </r>
    <r>
      <rPr>
        <b/>
        <sz val="10"/>
        <rFont val="Times New Roman"/>
        <family val="1"/>
        <scheme val="major"/>
      </rPr>
      <t>: التبرعات والمنح والهبات</t>
    </r>
  </si>
  <si>
    <r>
      <t xml:space="preserve">مجموع الباب </t>
    </r>
    <r>
      <rPr>
        <b/>
        <sz val="10"/>
        <color rgb="FFFF0000"/>
        <rFont val="Times New Roman"/>
        <family val="1"/>
        <scheme val="major"/>
      </rPr>
      <t>الرابع</t>
    </r>
    <r>
      <rPr>
        <b/>
        <sz val="10"/>
        <rFont val="Times New Roman"/>
        <family val="1"/>
        <scheme val="major"/>
      </rPr>
      <t>: التبرعات والمنح والهبات</t>
    </r>
  </si>
  <si>
    <t>المجموع العام للإيرادات قبل العجز</t>
  </si>
  <si>
    <r>
      <t xml:space="preserve">الفصل </t>
    </r>
    <r>
      <rPr>
        <b/>
        <sz val="10"/>
        <color rgb="FFFF0000"/>
        <rFont val="Times New Roman"/>
        <family val="1"/>
        <scheme val="major"/>
      </rPr>
      <t>الثاني</t>
    </r>
    <r>
      <rPr>
        <b/>
        <sz val="10"/>
        <rFont val="Times New Roman"/>
        <family val="1"/>
        <scheme val="major"/>
      </rPr>
      <t xml:space="preserve">: </t>
    </r>
    <r>
      <rPr>
        <b/>
        <sz val="10"/>
        <color rgb="FFFF0000"/>
        <rFont val="Times New Roman"/>
        <family val="1"/>
        <scheme val="major"/>
      </rPr>
      <t>إيرادات متنوعة ومراكز علمية وسنين سابقة</t>
    </r>
    <r>
      <rPr>
        <b/>
        <sz val="10"/>
        <rFont val="Times New Roman"/>
        <family val="1"/>
        <scheme val="major"/>
      </rPr>
      <t xml:space="preserve"> </t>
    </r>
  </si>
  <si>
    <r>
      <t xml:space="preserve">مجموع الفصل </t>
    </r>
    <r>
      <rPr>
        <b/>
        <sz val="10"/>
        <color rgb="FFFF0000"/>
        <rFont val="Times New Roman"/>
        <family val="1"/>
        <scheme val="major"/>
      </rPr>
      <t>الثاني</t>
    </r>
    <r>
      <rPr>
        <b/>
        <sz val="10"/>
        <rFont val="Times New Roman"/>
        <family val="1"/>
        <scheme val="major"/>
      </rPr>
      <t>:</t>
    </r>
    <r>
      <rPr>
        <b/>
        <sz val="10"/>
        <color rgb="FFFF0000"/>
        <rFont val="Times New Roman"/>
        <family val="1"/>
        <scheme val="major"/>
      </rPr>
      <t xml:space="preserve"> إيرادات متنوعة ومراكز علمية وسنين سابقة</t>
    </r>
  </si>
  <si>
    <t>تسديد قرض صندوق الادخار/جامعة آل البيت (المستحق)</t>
  </si>
  <si>
    <t xml:space="preserve"> قروض قصيرة الاجل</t>
  </si>
  <si>
    <t>مصادر تمويل داخلية (رسوم سنوات لاحقة وأمانات متفرقة وتحاويل غير مصروفة)</t>
  </si>
  <si>
    <t>الباب الأول: المصادر (مصادر التمويل)</t>
  </si>
  <si>
    <t>مجموع الفصل الثاني: نفقات الرسوم الجامعية التي تتحملها الجامعة</t>
  </si>
  <si>
    <t>الباب الأول: الاستخدامات</t>
  </si>
  <si>
    <t>مجموع الفصل الثاني: إيرادات الرسوم الجامعية التي تتحملها الجامعة</t>
  </si>
  <si>
    <t>مجموع الفصل الأول: إيرادات مشاريع وأجهزة وتجهيزات مشروطة بالتمويل</t>
  </si>
  <si>
    <t>الفصل الأول: إيرادات مشاريع وأجهزة وتجهيزات مشروطة بالتمويل</t>
  </si>
  <si>
    <t>الفصل الأول: نفقات مشاريع وأجهزة وتجهيزات مشروطة بالتمويل</t>
  </si>
  <si>
    <t>مجموع الفصل الأول: نفقات مشاريع وأجهزة وتجهيزات مشروطة بالتمويل</t>
  </si>
  <si>
    <t>مجموع الفصل الثاني: إيرادات الرسوم الجامعية التي تتحملها الجامعة (إيرادات غير نقدية)</t>
  </si>
  <si>
    <t>الفصل الثاني: إيرادات الرسوم الجامعية التي تتحملها الجامعة (إيرادات غير نقدية)</t>
  </si>
  <si>
    <t>الفصل الثاني: نفقات الرسوم الجامعية التي تتحملها الجامعة (نفقات غير نقدية)</t>
  </si>
  <si>
    <t>مجموع الفصل الثاني: نفقات الرسوم الجامعية التي تتحملها الجامعة  (نفقات غير نقدية)</t>
  </si>
  <si>
    <t>الإيرادات الذاتية الأخرى</t>
  </si>
  <si>
    <t>الباب الأول: الرسوم الجامعية</t>
  </si>
  <si>
    <t>مجموع الباب الأول: الرسوم الجامعية</t>
  </si>
  <si>
    <t>الرسوم الجامعية</t>
  </si>
  <si>
    <r>
      <t xml:space="preserve">الباب </t>
    </r>
    <r>
      <rPr>
        <b/>
        <sz val="10"/>
        <color rgb="FFFF0000"/>
        <rFont val="Times New Roman"/>
        <family val="1"/>
        <scheme val="major"/>
      </rPr>
      <t>الثاني</t>
    </r>
    <r>
      <rPr>
        <b/>
        <sz val="10"/>
        <rFont val="Times New Roman"/>
        <family val="1"/>
        <scheme val="major"/>
      </rPr>
      <t>: الدعم الحكومي</t>
    </r>
  </si>
  <si>
    <r>
      <t xml:space="preserve">مجموع الباب </t>
    </r>
    <r>
      <rPr>
        <b/>
        <sz val="10"/>
        <color rgb="FFFF0000"/>
        <rFont val="Times New Roman"/>
        <family val="1"/>
        <scheme val="major"/>
      </rPr>
      <t>الثاني</t>
    </r>
    <r>
      <rPr>
        <b/>
        <sz val="10"/>
        <rFont val="Times New Roman"/>
        <family val="1"/>
        <scheme val="major"/>
      </rPr>
      <t>: الدعم الحكومي</t>
    </r>
  </si>
  <si>
    <t>الباب الثالث: الإيرادات الذاتية الأخرى</t>
  </si>
  <si>
    <t>مجموع الباب الثالث: الإيرادات الذاتية الأخرى</t>
  </si>
  <si>
    <t xml:space="preserve">الباب الثالث </t>
  </si>
  <si>
    <t>أولا</t>
  </si>
  <si>
    <t>ثانيا</t>
  </si>
  <si>
    <t>ثالثا</t>
  </si>
  <si>
    <t>نفقات مشاريع وأجهزة وتجهيزات مشروطة بالتمويل</t>
  </si>
  <si>
    <t>نفقات الرسوم الجامعية التي تتحملها الجامعة</t>
  </si>
  <si>
    <t>إيرادات مشاريع وأجهزة وتجهيزات مشروطة بالتمويل</t>
  </si>
  <si>
    <t>إيرادات الرسوم الجامعية التي تتحملها الجامعة</t>
  </si>
  <si>
    <t>نسبة</t>
  </si>
  <si>
    <t>إيرادات الحسابات النظامية</t>
  </si>
  <si>
    <t>الباب الأول: إيرادات الحسابات النظامية</t>
  </si>
  <si>
    <t>الباب الأول: نفقات الحسابات النظامية</t>
  </si>
  <si>
    <t>الدعم النقدي المطلوب (بدل استخدام مصادر تمويل داخلية مؤقتة)</t>
  </si>
  <si>
    <t>سيتم فصل مادة التسهيلات البنكية عن العجز المتراكم إن شاء الله</t>
  </si>
  <si>
    <t>مادة جديدة في الموازنة</t>
  </si>
  <si>
    <t>المجموع العام لموازنة الحسابات النظامية</t>
  </si>
  <si>
    <t>العجز المقدر بالموازنة</t>
  </si>
  <si>
    <t>التمويل المطلوب لتغطية التسهيلات البنكية وعجز الموازنة الحالي والمتراكم</t>
  </si>
  <si>
    <t>المجموع العام للنفقات غير النقدية (الرسوم الجامعية التي تتحملها الجامعة)</t>
  </si>
  <si>
    <t>خلاصة مشروع موازنة الجامعة لعام ( 2020) مقارنة مع الموازنة والحساب الختامي لعام (2019)</t>
  </si>
  <si>
    <t>الموازنة حسب الجهات لعام (2020) مقارنة مع الموازنة والحساب الختامي للسنة المالية (2019)</t>
  </si>
  <si>
    <t>تصنيفات فرعية لنفقات الموازنة لعام (2020) مقارنة مع الموازنة والحساب الختامي للسنة المالية (2019)</t>
  </si>
  <si>
    <t>أبواب إيرادات الموازنة لعام (2020) مقارنة مع الموازنة والحساب الختامي للسنة المالية (2019)</t>
  </si>
  <si>
    <t>تصنيفات فرعية لإيرادات الموازنة لعام (2020) مقارنة مع الموازنة والحساب الختامي للسنة المالية (2019)</t>
  </si>
  <si>
    <t>مواد نفقات الموازنة لعام (2020) مقارنة مع الموازنة والحساب الختامي للسنة المالية (2019)</t>
  </si>
  <si>
    <t>مواد إيرادات الموازنة لعام (2020) مقارنة مع الموازنة والحساب الختامي للسنة المالية (2019)</t>
  </si>
  <si>
    <t>أبواب نفقات الموازنة لعام (2020) مقارنة مع الموازنة والحساب الختامي للسنة المالية (2019)</t>
  </si>
  <si>
    <t>فصول إيرادات الموازنة لعام (2020) مقارنة مع الموازنة والحساب الختامي للسنة المالية (2019)</t>
  </si>
  <si>
    <t>فصول نفقات الموازنة لعام (2020) مقارنة مع الموازنة والحساب الختامي للسنة المالية (2019)</t>
  </si>
  <si>
    <t>تسديد ذمة عجز موازنة التمويل المتراكم</t>
  </si>
  <si>
    <t>تسديد عجز الموازنة الحالي وذمة عجز موازنة التمويل المتراكم والقروض المستحقة</t>
  </si>
  <si>
    <t>عجز موازنة التمويل</t>
  </si>
  <si>
    <t>المجموع العام لعجز موازنة التمويل</t>
  </si>
  <si>
    <t>سلفة وزارة المالية</t>
  </si>
  <si>
    <t>تسديد سلفة وزارة المالية</t>
  </si>
  <si>
    <t>رابعا</t>
  </si>
  <si>
    <t>سلفة وزارة المالية؛ يوجد لها مادة منفصلة</t>
  </si>
  <si>
    <t>مجموع الفصل العاشر: تسديد فوائد القروض</t>
  </si>
  <si>
    <t>الفصل العاشر: تسديد فوائد القروض</t>
  </si>
  <si>
    <t>المجموع العام للموازنة المشروطة بالتمويل</t>
  </si>
  <si>
    <t>المجموع العام للموازنة غير النقدية</t>
  </si>
  <si>
    <t>قروض وتسهيلات بنكية وسلفة وزارة المالية وعجز موازنة التمويل</t>
  </si>
  <si>
    <t>عجز موازنة التمويل المرحل للسنة القادمة</t>
  </si>
  <si>
    <t>مجموع تسديد عجز الموازنة الحالي وذمة عجز موازنة التمويل المتراكم والقروض المستحقة</t>
  </si>
  <si>
    <t>قرض  بنك القاهرة عمان/ سلفة البنك المركزي للجامعات الحكومية</t>
  </si>
  <si>
    <t>تسديد عجز موازنة السنة المالية  الحالية</t>
  </si>
  <si>
    <t>خامسا</t>
  </si>
  <si>
    <t>تسديد قرض بنك القاهرة عمان/ سلفة البنك المركزي للجامعات الحكومية 2 مليون دينار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</si>
</sst>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[Red]#,##0"/>
    <numFmt numFmtId="165" formatCode="0;[Red]0"/>
    <numFmt numFmtId="166" formatCode="#,##0.000"/>
    <numFmt numFmtId="167" formatCode="#,##0.00000"/>
  </numFmts>
  <fonts count="6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0"/>
      <color theme="1"/>
      <name val="Times New Roman"/>
      <family val="1"/>
      <scheme val="major"/>
    </font>
    <font>
      <sz val="10"/>
      <name val="Times New Roman"/>
      <family val="1"/>
      <scheme val="major"/>
    </font>
    <font>
      <sz val="10"/>
      <color theme="1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rgb="FF000000"/>
      <name val="Arial"/>
      <family val="2"/>
      <charset val="178"/>
      <scheme val="minor"/>
    </font>
    <font>
      <b/>
      <sz val="10"/>
      <color rgb="FFFF0000"/>
      <name val="Times New Roman"/>
      <family val="1"/>
      <scheme val="major"/>
    </font>
    <font>
      <b/>
      <sz val="12"/>
      <name val="Times New Roman"/>
      <family val="1"/>
      <scheme val="maj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rgb="FFFF0000"/>
      <name val="Times New Roman"/>
      <family val="1"/>
      <scheme val="major"/>
    </font>
    <font>
      <sz val="10"/>
      <color rgb="FF0000CC"/>
      <name val="Times New Roman"/>
      <family val="1"/>
      <scheme val="major"/>
    </font>
    <font>
      <sz val="10"/>
      <color rgb="FFFFFF00"/>
      <name val="Times New Roman"/>
      <family val="1"/>
      <scheme val="major"/>
    </font>
    <font>
      <b/>
      <i/>
      <sz val="8"/>
      <color rgb="FF0000CC"/>
      <name val="Led Italic Font"/>
      <charset val="178"/>
    </font>
    <font>
      <sz val="8"/>
      <color theme="1"/>
      <name val="Arial"/>
      <family val="2"/>
      <charset val="178"/>
      <scheme val="minor"/>
    </font>
    <font>
      <b/>
      <sz val="8"/>
      <color theme="1"/>
      <name val="Times New Roman"/>
      <family val="1"/>
      <scheme val="major"/>
    </font>
    <font>
      <b/>
      <sz val="8"/>
      <name val="Times New Roman"/>
      <family val="1"/>
      <scheme val="major"/>
    </font>
    <font>
      <sz val="8"/>
      <color theme="1"/>
      <name val="Times New Roman"/>
      <family val="1"/>
      <scheme val="major"/>
    </font>
    <font>
      <b/>
      <sz val="8"/>
      <name val="Times New Roman"/>
      <family val="1"/>
    </font>
    <font>
      <sz val="8"/>
      <color theme="1"/>
      <name val="Arial"/>
      <family val="2"/>
      <scheme val="minor"/>
    </font>
    <font>
      <b/>
      <u/>
      <sz val="10"/>
      <color rgb="FFFF0000"/>
      <name val="Times New Roman"/>
      <family val="1"/>
      <scheme val="major"/>
    </font>
    <font>
      <sz val="12"/>
      <color theme="1"/>
      <name val="Arial"/>
      <family val="2"/>
      <charset val="178"/>
      <scheme val="minor"/>
    </font>
    <font>
      <sz val="12"/>
      <color theme="1"/>
      <name val="Times New Roman"/>
      <family val="1"/>
      <scheme val="major"/>
    </font>
    <font>
      <sz val="12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sz val="14"/>
      <name val="Times New Roman"/>
      <family val="1"/>
      <scheme val="major"/>
    </font>
  </fonts>
  <fills count="7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0"/>
        </stop>
        <stop position="1">
          <color theme="7" tint="-0.25098422193060094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auto="1"/>
      </patternFill>
    </fill>
    <fill>
      <patternFill patternType="solid">
        <fgColor rgb="FF33CCFF"/>
        <bgColor indexed="64"/>
      </patternFill>
    </fill>
    <fill>
      <patternFill patternType="solid">
        <fgColor rgb="FFFF0066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99FF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auto="1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auto="1"/>
      </patternFill>
    </fill>
    <fill>
      <patternFill patternType="solid">
        <fgColor rgb="FFCCCC00"/>
        <bgColor indexed="64"/>
      </patternFill>
    </fill>
    <fill>
      <gradientFill>
        <stop position="0">
          <color theme="0"/>
        </stop>
        <stop position="1">
          <color theme="4" tint="0.59999389629810485"/>
        </stop>
      </gradientFill>
    </fill>
    <fill>
      <gradientFill>
        <stop position="0">
          <color theme="0"/>
        </stop>
        <stop position="1">
          <color theme="5" tint="0.59999389629810485"/>
        </stop>
      </gradientFill>
    </fill>
    <fill>
      <gradientFill>
        <stop position="0">
          <color theme="0"/>
        </stop>
        <stop position="1">
          <color rgb="FFFFCCFF"/>
        </stop>
      </gradientFill>
    </fill>
    <fill>
      <gradientFill>
        <stop position="0">
          <color theme="0"/>
        </stop>
        <stop position="1">
          <color rgb="FFFFFF00"/>
        </stop>
      </gradientFill>
    </fill>
    <fill>
      <patternFill patternType="solid">
        <fgColor rgb="FF00CC99"/>
        <bgColor auto="1"/>
      </patternFill>
    </fill>
    <fill>
      <patternFill patternType="solid">
        <fgColor rgb="FF00CCFF"/>
        <bgColor auto="1"/>
      </patternFill>
    </fill>
    <fill>
      <patternFill patternType="solid">
        <fgColor rgb="FF00CCFF"/>
        <bgColor indexed="64"/>
      </patternFill>
    </fill>
    <fill>
      <patternFill patternType="solid">
        <fgColor rgb="FFFFCCFF"/>
        <bgColor auto="1"/>
      </patternFill>
    </fill>
    <fill>
      <patternFill patternType="solid">
        <fgColor rgb="FFCCCCFF"/>
        <bgColor auto="1"/>
      </patternFill>
    </fill>
    <fill>
      <patternFill patternType="solid">
        <fgColor rgb="FFFF9999"/>
        <bgColor auto="1"/>
      </patternFill>
    </fill>
    <fill>
      <patternFill patternType="solid">
        <fgColor rgb="FFCC66FF"/>
        <bgColor auto="1"/>
      </patternFill>
    </fill>
    <fill>
      <patternFill patternType="solid">
        <fgColor rgb="FF00CC99"/>
        <bgColor indexed="64"/>
      </patternFill>
    </fill>
    <fill>
      <patternFill patternType="solid">
        <fgColor rgb="FFCCECFF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auto="1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4" tint="0.59999389629810485"/>
        <bgColor auto="1"/>
      </patternFill>
    </fill>
    <fill>
      <patternFill patternType="solid">
        <fgColor rgb="FFCCCC00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6DCE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6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8" borderId="21" applyNumberFormat="0" applyAlignment="0" applyProtection="0"/>
    <xf numFmtId="0" fontId="19" fillId="39" borderId="22" applyNumberFormat="0" applyAlignment="0" applyProtection="0"/>
    <xf numFmtId="0" fontId="20" fillId="39" borderId="21" applyNumberFormat="0" applyAlignment="0" applyProtection="0"/>
    <xf numFmtId="0" fontId="21" fillId="0" borderId="23" applyNumberFormat="0" applyFill="0" applyAlignment="0" applyProtection="0"/>
    <xf numFmtId="0" fontId="22" fillId="40" borderId="24" applyNumberFormat="0" applyAlignment="0" applyProtection="0"/>
    <xf numFmtId="0" fontId="23" fillId="0" borderId="0" applyNumberFormat="0" applyFill="0" applyBorder="0" applyAlignment="0" applyProtection="0"/>
    <xf numFmtId="0" fontId="10" fillId="41" borderId="2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26" fillId="65" borderId="0" applyNumberFormat="0" applyBorder="0" applyAlignment="0" applyProtection="0"/>
    <xf numFmtId="0" fontId="27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21" applyNumberFormat="0" applyAlignment="0" applyProtection="0"/>
    <xf numFmtId="0" fontId="38" fillId="39" borderId="22" applyNumberFormat="0" applyAlignment="0" applyProtection="0"/>
    <xf numFmtId="0" fontId="39" fillId="39" borderId="21" applyNumberFormat="0" applyAlignment="0" applyProtection="0"/>
    <xf numFmtId="0" fontId="40" fillId="0" borderId="23" applyNumberFormat="0" applyFill="0" applyAlignment="0" applyProtection="0"/>
    <xf numFmtId="0" fontId="41" fillId="40" borderId="24" applyNumberFormat="0" applyAlignment="0" applyProtection="0"/>
    <xf numFmtId="0" fontId="42" fillId="0" borderId="0" applyNumberFormat="0" applyFill="0" applyBorder="0" applyAlignment="0" applyProtection="0"/>
    <xf numFmtId="0" fontId="1" fillId="41" borderId="25" applyNumberFormat="0" applyFont="0" applyAlignment="0" applyProtection="0"/>
    <xf numFmtId="0" fontId="43" fillId="0" borderId="0" applyNumberFormat="0" applyFill="0" applyBorder="0" applyAlignment="0" applyProtection="0"/>
    <xf numFmtId="0" fontId="8" fillId="0" borderId="26" applyNumberFormat="0" applyFill="0" applyAlignment="0" applyProtection="0"/>
    <xf numFmtId="0" fontId="4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4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</cellStyleXfs>
  <cellXfs count="607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/>
    <xf numFmtId="16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/>
    <xf numFmtId="0" fontId="0" fillId="0" borderId="0" xfId="0" applyAlignment="1"/>
    <xf numFmtId="3" fontId="0" fillId="0" borderId="0" xfId="0" applyNumberFormat="1"/>
    <xf numFmtId="164" fontId="0" fillId="0" borderId="0" xfId="0" applyNumberFormat="1" applyFill="1" applyBorder="1"/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0" fillId="32" borderId="10" xfId="0" applyFill="1" applyBorder="1"/>
    <xf numFmtId="0" fontId="0" fillId="32" borderId="11" xfId="0" applyFill="1" applyBorder="1"/>
    <xf numFmtId="0" fontId="0" fillId="32" borderId="12" xfId="0" applyFill="1" applyBorder="1"/>
    <xf numFmtId="0" fontId="0" fillId="32" borderId="13" xfId="0" applyFill="1" applyBorder="1"/>
    <xf numFmtId="0" fontId="0" fillId="32" borderId="0" xfId="0" applyFill="1" applyBorder="1"/>
    <xf numFmtId="0" fontId="0" fillId="32" borderId="14" xfId="0" applyFill="1" applyBorder="1"/>
    <xf numFmtId="0" fontId="0" fillId="32" borderId="13" xfId="0" applyFill="1" applyBorder="1" applyAlignment="1"/>
    <xf numFmtId="0" fontId="0" fillId="32" borderId="0" xfId="0" applyFill="1" applyBorder="1" applyAlignment="1"/>
    <xf numFmtId="0" fontId="0" fillId="32" borderId="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/>
    <xf numFmtId="0" fontId="0" fillId="32" borderId="16" xfId="0" applyFill="1" applyBorder="1"/>
    <xf numFmtId="0" fontId="0" fillId="32" borderId="17" xfId="0" applyFill="1" applyBorder="1"/>
    <xf numFmtId="0" fontId="0" fillId="0" borderId="0" xfId="0"/>
    <xf numFmtId="3" fontId="5" fillId="33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6" fontId="0" fillId="0" borderId="0" xfId="0" applyNumberFormat="1"/>
    <xf numFmtId="164" fontId="4" fillId="67" borderId="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3" fontId="3" fillId="8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" fontId="4" fillId="8" borderId="1" xfId="0" applyNumberFormat="1" applyFont="1" applyFill="1" applyBorder="1" applyAlignment="1">
      <alignment horizontal="right" vertical="center"/>
    </xf>
    <xf numFmtId="0" fontId="4" fillId="8" borderId="1" xfId="0" applyNumberFormat="1" applyFont="1" applyFill="1" applyBorder="1" applyAlignment="1">
      <alignment vertical="center"/>
    </xf>
    <xf numFmtId="0" fontId="4" fillId="8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9" borderId="1" xfId="0" applyFont="1" applyFill="1" applyBorder="1" applyAlignment="1">
      <alignment vertical="center"/>
    </xf>
    <xf numFmtId="0" fontId="0" fillId="2" borderId="30" xfId="0" applyFill="1" applyBorder="1"/>
    <xf numFmtId="0" fontId="4" fillId="0" borderId="0" xfId="0" applyFont="1" applyAlignment="1">
      <alignment wrapText="1"/>
    </xf>
    <xf numFmtId="9" fontId="3" fillId="0" borderId="4" xfId="0" applyNumberFormat="1" applyFont="1" applyFill="1" applyBorder="1" applyAlignment="1">
      <alignment vertical="center" wrapText="1"/>
    </xf>
    <xf numFmtId="0" fontId="0" fillId="0" borderId="0" xfId="0" applyBorder="1"/>
    <xf numFmtId="0" fontId="0" fillId="0" borderId="1" xfId="0" applyBorder="1"/>
    <xf numFmtId="166" fontId="4" fillId="0" borderId="1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166" fontId="4" fillId="15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readingOrder="2"/>
    </xf>
    <xf numFmtId="0" fontId="2" fillId="0" borderId="0" xfId="0" applyFont="1" applyFill="1" applyBorder="1" applyAlignment="1">
      <alignment vertical="center" wrapText="1"/>
    </xf>
    <xf numFmtId="0" fontId="4" fillId="11" borderId="9" xfId="0" applyFont="1" applyFill="1" applyBorder="1" applyAlignment="1">
      <alignment vertical="center" readingOrder="2"/>
    </xf>
    <xf numFmtId="166" fontId="4" fillId="0" borderId="4" xfId="0" applyNumberFormat="1" applyFont="1" applyBorder="1" applyAlignment="1">
      <alignment vertical="center"/>
    </xf>
    <xf numFmtId="0" fontId="4" fillId="15" borderId="9" xfId="0" applyFont="1" applyFill="1" applyBorder="1" applyAlignment="1">
      <alignment vertical="center" readingOrder="2"/>
    </xf>
    <xf numFmtId="166" fontId="4" fillId="15" borderId="4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4" fillId="6" borderId="9" xfId="0" applyFont="1" applyFill="1" applyBorder="1" applyAlignment="1">
      <alignment vertical="center" readingOrder="2"/>
    </xf>
    <xf numFmtId="166" fontId="2" fillId="2" borderId="9" xfId="0" applyNumberFormat="1" applyFont="1" applyFill="1" applyBorder="1" applyAlignment="1">
      <alignment vertical="center" readingOrder="2"/>
    </xf>
    <xf numFmtId="0" fontId="4" fillId="0" borderId="9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vertical="center" readingOrder="2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readingOrder="2"/>
    </xf>
    <xf numFmtId="0" fontId="4" fillId="34" borderId="3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readingOrder="2"/>
    </xf>
    <xf numFmtId="0" fontId="4" fillId="0" borderId="2" xfId="0" applyFont="1" applyBorder="1" applyAlignment="1">
      <alignment vertical="center" wrapText="1"/>
    </xf>
    <xf numFmtId="0" fontId="4" fillId="11" borderId="5" xfId="0" applyFont="1" applyFill="1" applyBorder="1" applyAlignment="1">
      <alignment vertical="center" readingOrder="2"/>
    </xf>
    <xf numFmtId="166" fontId="4" fillId="0" borderId="7" xfId="0" applyNumberFormat="1" applyFont="1" applyBorder="1" applyAlignment="1">
      <alignment vertical="center"/>
    </xf>
    <xf numFmtId="0" fontId="8" fillId="69" borderId="33" xfId="0" applyFont="1" applyFill="1" applyBorder="1" applyAlignment="1">
      <alignment vertical="center"/>
    </xf>
    <xf numFmtId="0" fontId="8" fillId="69" borderId="32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69" borderId="0" xfId="0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6" fontId="8" fillId="69" borderId="32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right" vertical="center" wrapText="1" readingOrder="2"/>
    </xf>
    <xf numFmtId="0" fontId="4" fillId="0" borderId="9" xfId="0" applyFont="1" applyFill="1" applyBorder="1" applyAlignment="1">
      <alignment vertical="center" wrapText="1" readingOrder="2"/>
    </xf>
    <xf numFmtId="0" fontId="4" fillId="15" borderId="9" xfId="0" applyFont="1" applyFill="1" applyBorder="1" applyAlignment="1">
      <alignment vertical="center" wrapText="1" readingOrder="2"/>
    </xf>
    <xf numFmtId="9" fontId="3" fillId="0" borderId="4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9" fontId="3" fillId="0" borderId="4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right" vertical="center"/>
    </xf>
    <xf numFmtId="3" fontId="4" fillId="9" borderId="1" xfId="0" applyNumberFormat="1" applyFont="1" applyFill="1" applyBorder="1" applyAlignment="1">
      <alignment horizontal="right" vertical="center"/>
    </xf>
    <xf numFmtId="1" fontId="3" fillId="9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right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left" vertical="center"/>
    </xf>
    <xf numFmtId="1" fontId="3" fillId="9" borderId="1" xfId="0" applyNumberFormat="1" applyFont="1" applyFill="1" applyBorder="1" applyAlignment="1">
      <alignment horizontal="left" vertical="center"/>
    </xf>
    <xf numFmtId="1" fontId="4" fillId="8" borderId="9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right" vertical="center"/>
    </xf>
    <xf numFmtId="165" fontId="4" fillId="9" borderId="1" xfId="0" applyNumberFormat="1" applyFont="1" applyFill="1" applyBorder="1" applyAlignment="1">
      <alignment horizontal="right" vertical="center"/>
    </xf>
    <xf numFmtId="0" fontId="4" fillId="9" borderId="1" xfId="0" applyNumberFormat="1" applyFont="1" applyFill="1" applyBorder="1" applyAlignment="1">
      <alignment vertical="center"/>
    </xf>
    <xf numFmtId="167" fontId="4" fillId="0" borderId="0" xfId="0" applyNumberFormat="1" applyFont="1" applyFill="1"/>
    <xf numFmtId="3" fontId="4" fillId="8" borderId="1" xfId="0" applyNumberFormat="1" applyFont="1" applyFill="1" applyBorder="1" applyAlignment="1">
      <alignment vertical="center"/>
    </xf>
    <xf numFmtId="0" fontId="0" fillId="0" borderId="1" xfId="0" applyBorder="1" applyAlignment="1"/>
    <xf numFmtId="3" fontId="4" fillId="16" borderId="1" xfId="0" applyNumberFormat="1" applyFont="1" applyFill="1" applyBorder="1" applyAlignment="1">
      <alignment horizontal="right" vertical="center"/>
    </xf>
    <xf numFmtId="3" fontId="4" fillId="30" borderId="1" xfId="0" applyNumberFormat="1" applyFont="1" applyFill="1" applyBorder="1" applyAlignment="1">
      <alignment horizontal="right" vertical="center"/>
    </xf>
    <xf numFmtId="3" fontId="4" fillId="74" borderId="1" xfId="0" applyNumberFormat="1" applyFont="1" applyFill="1" applyBorder="1" applyAlignment="1">
      <alignment horizontal="right" vertical="center"/>
    </xf>
    <xf numFmtId="3" fontId="4" fillId="33" borderId="1" xfId="0" applyNumberFormat="1" applyFont="1" applyFill="1" applyBorder="1" applyAlignment="1">
      <alignment horizontal="right" vertical="center"/>
    </xf>
    <xf numFmtId="3" fontId="4" fillId="15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3" fontId="3" fillId="15" borderId="1" xfId="0" applyNumberFormat="1" applyFont="1" applyFill="1" applyBorder="1" applyAlignment="1">
      <alignment horizontal="right" vertical="center"/>
    </xf>
    <xf numFmtId="0" fontId="0" fillId="0" borderId="0" xfId="0" applyFont="1"/>
    <xf numFmtId="3" fontId="7" fillId="6" borderId="1" xfId="0" applyNumberFormat="1" applyFont="1" applyFill="1" applyBorder="1" applyAlignment="1">
      <alignment horizontal="right" vertical="center"/>
    </xf>
    <xf numFmtId="3" fontId="7" fillId="15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vertical="center"/>
    </xf>
    <xf numFmtId="3" fontId="3" fillId="67" borderId="1" xfId="0" applyNumberFormat="1" applyFont="1" applyFill="1" applyBorder="1" applyAlignment="1">
      <alignment horizontal="right" vertical="center"/>
    </xf>
    <xf numFmtId="3" fontId="3" fillId="33" borderId="1" xfId="0" applyNumberFormat="1" applyFont="1" applyFill="1" applyBorder="1" applyAlignment="1">
      <alignment vertical="center"/>
    </xf>
    <xf numFmtId="164" fontId="4" fillId="33" borderId="1" xfId="0" applyNumberFormat="1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4" fillId="13" borderId="1" xfId="0" applyNumberFormat="1" applyFont="1" applyFill="1" applyBorder="1" applyAlignment="1">
      <alignment horizontal="right" vertical="center"/>
    </xf>
    <xf numFmtId="3" fontId="4" fillId="18" borderId="1" xfId="0" applyNumberFormat="1" applyFont="1" applyFill="1" applyBorder="1" applyAlignment="1">
      <alignment horizontal="right" vertical="center"/>
    </xf>
    <xf numFmtId="3" fontId="4" fillId="67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9" fillId="9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 wrapText="1"/>
    </xf>
    <xf numFmtId="3" fontId="4" fillId="15" borderId="1" xfId="0" applyNumberFormat="1" applyFont="1" applyFill="1" applyBorder="1" applyAlignment="1">
      <alignment horizontal="right" vertical="center" wrapText="1"/>
    </xf>
    <xf numFmtId="3" fontId="3" fillId="15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right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9" fontId="5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75" borderId="1" xfId="0" applyFont="1" applyFill="1" applyBorder="1" applyAlignment="1">
      <alignment horizontal="center" vertical="center" wrapText="1"/>
    </xf>
    <xf numFmtId="3" fontId="4" fillId="76" borderId="1" xfId="0" applyNumberFormat="1" applyFont="1" applyFill="1" applyBorder="1" applyAlignment="1">
      <alignment horizontal="right" vertical="center"/>
    </xf>
    <xf numFmtId="3" fontId="4" fillId="76" borderId="1" xfId="0" applyNumberFormat="1" applyFont="1" applyFill="1" applyBorder="1" applyAlignment="1">
      <alignment horizontal="right" vertical="center" wrapText="1"/>
    </xf>
    <xf numFmtId="3" fontId="3" fillId="76" borderId="1" xfId="0" applyNumberFormat="1" applyFont="1" applyFill="1" applyBorder="1" applyAlignment="1">
      <alignment horizontal="right" vertical="center"/>
    </xf>
    <xf numFmtId="3" fontId="7" fillId="76" borderId="1" xfId="0" applyNumberFormat="1" applyFont="1" applyFill="1" applyBorder="1" applyAlignment="1">
      <alignment horizontal="right" vertical="center"/>
    </xf>
    <xf numFmtId="9" fontId="3" fillId="0" borderId="7" xfId="0" applyNumberFormat="1" applyFont="1" applyFill="1" applyBorder="1" applyAlignment="1">
      <alignment horizontal="right" vertical="center"/>
    </xf>
    <xf numFmtId="0" fontId="49" fillId="0" borderId="0" xfId="0" applyFont="1"/>
    <xf numFmtId="0" fontId="52" fillId="0" borderId="0" xfId="0" applyFont="1"/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/>
    <xf numFmtId="0" fontId="54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3" fontId="4" fillId="0" borderId="4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4" fillId="0" borderId="0" xfId="0" applyFont="1" applyFill="1" applyAlignment="1">
      <alignment wrapText="1"/>
    </xf>
    <xf numFmtId="9" fontId="3" fillId="0" borderId="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8" fillId="0" borderId="2" xfId="0" applyFont="1" applyFill="1" applyBorder="1" applyAlignment="1">
      <alignment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8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7" fillId="9" borderId="1" xfId="0" applyFont="1" applyFill="1" applyBorder="1" applyAlignment="1">
      <alignment vertical="center"/>
    </xf>
    <xf numFmtId="3" fontId="52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4" fontId="2" fillId="13" borderId="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7" fillId="33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3" fontId="4" fillId="30" borderId="6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" fontId="3" fillId="8" borderId="1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3" fillId="77" borderId="1" xfId="0" applyNumberFormat="1" applyFont="1" applyFill="1" applyBorder="1" applyAlignment="1">
      <alignment vertical="center"/>
    </xf>
    <xf numFmtId="3" fontId="3" fillId="30" borderId="6" xfId="0" applyNumberFormat="1" applyFont="1" applyFill="1" applyBorder="1" applyAlignment="1">
      <alignment vertical="center"/>
    </xf>
    <xf numFmtId="3" fontId="3" fillId="77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/>
    <xf numFmtId="1" fontId="3" fillId="0" borderId="9" xfId="0" applyNumberFormat="1" applyFont="1" applyFill="1" applyBorder="1" applyAlignment="1">
      <alignment horizontal="center" vertical="center"/>
    </xf>
    <xf numFmtId="3" fontId="4" fillId="76" borderId="1" xfId="0" applyNumberFormat="1" applyFont="1" applyFill="1" applyBorder="1" applyAlignment="1">
      <alignment vertical="center"/>
    </xf>
    <xf numFmtId="3" fontId="3" fillId="67" borderId="1" xfId="0" applyNumberFormat="1" applyFont="1" applyFill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8" borderId="9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164" fontId="4" fillId="30" borderId="6" xfId="0" applyNumberFormat="1" applyFont="1" applyFill="1" applyBorder="1" applyAlignment="1">
      <alignment vertical="center"/>
    </xf>
    <xf numFmtId="3" fontId="3" fillId="30" borderId="6" xfId="0" applyNumberFormat="1" applyFont="1" applyFill="1" applyBorder="1" applyAlignment="1">
      <alignment horizontal="right" vertical="center"/>
    </xf>
    <xf numFmtId="0" fontId="4" fillId="8" borderId="1" xfId="0" applyFont="1" applyFill="1" applyBorder="1" applyAlignment="1">
      <alignment vertical="center"/>
    </xf>
    <xf numFmtId="3" fontId="7" fillId="67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 wrapText="1"/>
    </xf>
    <xf numFmtId="0" fontId="2" fillId="67" borderId="9" xfId="0" applyFont="1" applyFill="1" applyBorder="1" applyAlignment="1">
      <alignment vertical="center"/>
    </xf>
    <xf numFmtId="0" fontId="5" fillId="30" borderId="5" xfId="0" applyFont="1" applyFill="1" applyBorder="1" applyAlignment="1">
      <alignment vertical="center"/>
    </xf>
    <xf numFmtId="164" fontId="3" fillId="30" borderId="6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7" fillId="76" borderId="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3" fontId="4" fillId="30" borderId="6" xfId="0" applyNumberFormat="1" applyFont="1" applyFill="1" applyBorder="1" applyAlignment="1">
      <alignment horizontal="right" vertical="center"/>
    </xf>
    <xf numFmtId="164" fontId="4" fillId="15" borderId="1" xfId="0" applyNumberFormat="1" applyFont="1" applyFill="1" applyBorder="1" applyAlignment="1">
      <alignment vertical="center"/>
    </xf>
    <xf numFmtId="0" fontId="0" fillId="0" borderId="0" xfId="0" applyFill="1" applyAlignment="1"/>
    <xf numFmtId="1" fontId="4" fillId="8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0" fontId="3" fillId="8" borderId="36" xfId="0" applyFont="1" applyFill="1" applyBorder="1" applyAlignment="1">
      <alignment vertical="center"/>
    </xf>
    <xf numFmtId="3" fontId="29" fillId="8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8" fillId="0" borderId="4" xfId="0" applyFont="1" applyBorder="1" applyAlignment="1"/>
    <xf numFmtId="3" fontId="0" fillId="0" borderId="4" xfId="0" applyNumberFormat="1" applyBorder="1" applyAlignment="1">
      <alignment vertical="center"/>
    </xf>
    <xf numFmtId="3" fontId="0" fillId="75" borderId="4" xfId="0" applyNumberFormat="1" applyFill="1" applyBorder="1" applyAlignment="1">
      <alignment vertical="center"/>
    </xf>
    <xf numFmtId="3" fontId="0" fillId="30" borderId="4" xfId="0" applyNumberFormat="1" applyFill="1" applyBorder="1" applyAlignment="1">
      <alignment vertical="center"/>
    </xf>
    <xf numFmtId="0" fontId="5" fillId="14" borderId="9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0" fillId="0" borderId="9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76" borderId="9" xfId="0" applyFont="1" applyFill="1" applyBorder="1" applyAlignment="1">
      <alignment vertical="center"/>
    </xf>
    <xf numFmtId="0" fontId="2" fillId="67" borderId="9" xfId="0" applyFont="1" applyFill="1" applyBorder="1" applyAlignment="1">
      <alignment horizontal="right" vertical="center"/>
    </xf>
    <xf numFmtId="0" fontId="2" fillId="15" borderId="9" xfId="0" applyFont="1" applyFill="1" applyBorder="1" applyAlignment="1">
      <alignment horizontal="right" vertical="center"/>
    </xf>
    <xf numFmtId="0" fontId="2" fillId="76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57" fillId="0" borderId="0" xfId="0" applyFont="1" applyAlignment="1">
      <alignment vertical="center" wrapText="1" readingOrder="1"/>
    </xf>
    <xf numFmtId="0" fontId="56" fillId="0" borderId="0" xfId="0" applyFont="1" applyAlignment="1">
      <alignment vertical="center" wrapText="1" readingOrder="1"/>
    </xf>
    <xf numFmtId="0" fontId="58" fillId="0" borderId="1" xfId="0" applyFont="1" applyFill="1" applyBorder="1" applyAlignment="1">
      <alignment vertical="center" wrapText="1" readingOrder="1"/>
    </xf>
    <xf numFmtId="49" fontId="29" fillId="0" borderId="1" xfId="0" applyNumberFormat="1" applyFont="1" applyFill="1" applyBorder="1" applyAlignment="1">
      <alignment horizontal="center" vertical="center" wrapText="1" readingOrder="1"/>
    </xf>
    <xf numFmtId="0" fontId="57" fillId="0" borderId="1" xfId="0" applyFont="1" applyFill="1" applyBorder="1" applyAlignment="1">
      <alignment vertical="center" wrapText="1" readingOrder="1"/>
    </xf>
    <xf numFmtId="49" fontId="29" fillId="0" borderId="4" xfId="0" applyNumberFormat="1" applyFont="1" applyFill="1" applyBorder="1" applyAlignment="1">
      <alignment horizontal="center" vertical="center" wrapText="1" readingOrder="1"/>
    </xf>
    <xf numFmtId="0" fontId="57" fillId="0" borderId="9" xfId="0" applyFont="1" applyFill="1" applyBorder="1" applyAlignment="1">
      <alignment vertical="center" wrapText="1" readingOrder="1"/>
    </xf>
    <xf numFmtId="164" fontId="57" fillId="0" borderId="1" xfId="0" applyNumberFormat="1" applyFont="1" applyBorder="1" applyAlignment="1">
      <alignment vertical="center" wrapText="1" readingOrder="1"/>
    </xf>
    <xf numFmtId="3" fontId="57" fillId="15" borderId="1" xfId="0" applyNumberFormat="1" applyFont="1" applyFill="1" applyBorder="1" applyAlignment="1">
      <alignment vertical="center" wrapText="1" readingOrder="1"/>
    </xf>
    <xf numFmtId="0" fontId="57" fillId="68" borderId="1" xfId="0" applyFont="1" applyFill="1" applyBorder="1" applyAlignment="1">
      <alignment vertical="center" wrapText="1" readingOrder="1"/>
    </xf>
    <xf numFmtId="164" fontId="57" fillId="68" borderId="1" xfId="0" applyNumberFormat="1" applyFont="1" applyFill="1" applyBorder="1" applyAlignment="1">
      <alignment vertical="center" wrapText="1" readingOrder="1"/>
    </xf>
    <xf numFmtId="3" fontId="57" fillId="76" borderId="1" xfId="0" applyNumberFormat="1" applyFont="1" applyFill="1" applyBorder="1" applyAlignment="1">
      <alignment vertical="center" wrapText="1" readingOrder="1"/>
    </xf>
    <xf numFmtId="3" fontId="58" fillId="76" borderId="1" xfId="0" applyNumberFormat="1" applyFont="1" applyFill="1" applyBorder="1" applyAlignment="1">
      <alignment vertical="center" wrapText="1" readingOrder="1"/>
    </xf>
    <xf numFmtId="164" fontId="57" fillId="2" borderId="1" xfId="0" applyNumberFormat="1" applyFont="1" applyFill="1" applyBorder="1" applyAlignment="1">
      <alignment vertical="center" wrapText="1" readingOrder="1"/>
    </xf>
    <xf numFmtId="3" fontId="57" fillId="2" borderId="1" xfId="0" applyNumberFormat="1" applyFont="1" applyFill="1" applyBorder="1" applyAlignment="1">
      <alignment vertical="center" wrapText="1" readingOrder="1"/>
    </xf>
    <xf numFmtId="0" fontId="57" fillId="0" borderId="1" xfId="0" applyFont="1" applyFill="1" applyBorder="1" applyAlignment="1">
      <alignment horizontal="right" vertical="center" wrapText="1" readingOrder="1"/>
    </xf>
    <xf numFmtId="164" fontId="57" fillId="0" borderId="1" xfId="0" applyNumberFormat="1" applyFont="1" applyFill="1" applyBorder="1" applyAlignment="1">
      <alignment vertical="center" wrapText="1" readingOrder="1"/>
    </xf>
    <xf numFmtId="3" fontId="57" fillId="67" borderId="1" xfId="0" applyNumberFormat="1" applyFont="1" applyFill="1" applyBorder="1" applyAlignment="1">
      <alignment vertical="center" wrapText="1" readingOrder="1"/>
    </xf>
    <xf numFmtId="3" fontId="58" fillId="67" borderId="1" xfId="0" applyNumberFormat="1" applyFont="1" applyFill="1" applyBorder="1" applyAlignment="1">
      <alignment vertical="center" wrapText="1" readingOrder="1"/>
    </xf>
    <xf numFmtId="3" fontId="57" fillId="30" borderId="6" xfId="0" applyNumberFormat="1" applyFont="1" applyFill="1" applyBorder="1" applyAlignment="1">
      <alignment vertical="center" wrapText="1" readingOrder="1"/>
    </xf>
    <xf numFmtId="9" fontId="58" fillId="0" borderId="6" xfId="0" applyNumberFormat="1" applyFont="1" applyFill="1" applyBorder="1" applyAlignment="1">
      <alignment vertical="center" wrapText="1" readingOrder="1"/>
    </xf>
    <xf numFmtId="0" fontId="57" fillId="0" borderId="6" xfId="0" applyFont="1" applyFill="1" applyBorder="1" applyAlignment="1">
      <alignment vertical="center" wrapText="1" readingOrder="1"/>
    </xf>
    <xf numFmtId="9" fontId="58" fillId="0" borderId="7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readingOrder="1"/>
    </xf>
    <xf numFmtId="0" fontId="4" fillId="0" borderId="0" xfId="0" applyFont="1" applyAlignment="1">
      <alignment wrapText="1" readingOrder="1"/>
    </xf>
    <xf numFmtId="0" fontId="4" fillId="0" borderId="0" xfId="0" applyFont="1" applyAlignment="1">
      <alignment horizontal="right" vertical="center" wrapText="1" readingOrder="1"/>
    </xf>
    <xf numFmtId="0" fontId="0" fillId="0" borderId="0" xfId="0" applyAlignment="1">
      <alignment readingOrder="1"/>
    </xf>
    <xf numFmtId="3" fontId="4" fillId="0" borderId="0" xfId="0" applyNumberFormat="1" applyFont="1" applyAlignment="1">
      <alignment readingOrder="1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/>
    <xf numFmtId="3" fontId="4" fillId="0" borderId="1" xfId="0" applyNumberFormat="1" applyFont="1" applyBorder="1" applyAlignment="1">
      <alignment vertical="center" readingOrder="2"/>
    </xf>
    <xf numFmtId="0" fontId="4" fillId="0" borderId="0" xfId="0" applyFont="1" applyAlignment="1">
      <alignment vertical="center" readingOrder="2"/>
    </xf>
    <xf numFmtId="3" fontId="4" fillId="0" borderId="0" xfId="0" applyNumberFormat="1" applyFont="1" applyAlignment="1">
      <alignment vertical="center" readingOrder="2"/>
    </xf>
    <xf numFmtId="164" fontId="5" fillId="0" borderId="29" xfId="0" applyNumberFormat="1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9" fontId="58" fillId="0" borderId="1" xfId="0" applyNumberFormat="1" applyFont="1" applyFill="1" applyBorder="1" applyAlignment="1">
      <alignment vertical="center" wrapText="1" readingOrder="1"/>
    </xf>
    <xf numFmtId="9" fontId="58" fillId="0" borderId="4" xfId="0" applyNumberFormat="1" applyFont="1" applyFill="1" applyBorder="1" applyAlignment="1">
      <alignment vertical="center" wrapText="1" readingOrder="1"/>
    </xf>
    <xf numFmtId="0" fontId="29" fillId="0" borderId="1" xfId="0" applyFont="1" applyFill="1" applyBorder="1" applyAlignment="1">
      <alignment horizontal="center" vertical="center" wrapText="1" readingOrder="1"/>
    </xf>
    <xf numFmtId="0" fontId="59" fillId="0" borderId="1" xfId="0" applyFont="1" applyFill="1" applyBorder="1" applyAlignment="1">
      <alignment horizontal="center" vertical="center" wrapText="1" readingOrder="1"/>
    </xf>
    <xf numFmtId="3" fontId="4" fillId="0" borderId="1" xfId="0" applyNumberFormat="1" applyFont="1" applyFill="1" applyBorder="1" applyAlignment="1">
      <alignment horizontal="right" vertical="center"/>
    </xf>
    <xf numFmtId="0" fontId="57" fillId="0" borderId="1" xfId="0" applyFont="1" applyBorder="1" applyAlignment="1">
      <alignment vertical="center" wrapText="1" readingOrder="1"/>
    </xf>
    <xf numFmtId="0" fontId="4" fillId="0" borderId="0" xfId="0" applyFont="1" applyFill="1" applyBorder="1" applyAlignment="1"/>
    <xf numFmtId="0" fontId="0" fillId="2" borderId="1" xfId="0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right" vertical="center"/>
    </xf>
    <xf numFmtId="9" fontId="4" fillId="0" borderId="1" xfId="0" applyNumberFormat="1" applyFont="1" applyFill="1" applyBorder="1" applyAlignment="1">
      <alignment vertical="center"/>
    </xf>
    <xf numFmtId="0" fontId="5" fillId="78" borderId="38" xfId="0" applyFont="1" applyFill="1" applyBorder="1" applyAlignment="1">
      <alignment horizontal="center" vertical="center"/>
    </xf>
    <xf numFmtId="0" fontId="5" fillId="78" borderId="39" xfId="0" applyFont="1" applyFill="1" applyBorder="1" applyAlignment="1">
      <alignment horizontal="center" vertical="center"/>
    </xf>
    <xf numFmtId="3" fontId="2" fillId="67" borderId="30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67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4" fillId="0" borderId="1" xfId="0" applyFont="1" applyFill="1" applyBorder="1"/>
    <xf numFmtId="3" fontId="2" fillId="67" borderId="1" xfId="0" applyNumberFormat="1" applyFont="1" applyFill="1" applyBorder="1" applyAlignment="1">
      <alignment vertical="center" readingOrder="2"/>
    </xf>
    <xf numFmtId="9" fontId="58" fillId="0" borderId="1" xfId="0" applyNumberFormat="1" applyFont="1" applyFill="1" applyBorder="1" applyAlignment="1">
      <alignment vertical="center" wrapText="1" readingOrder="1"/>
    </xf>
    <xf numFmtId="9" fontId="58" fillId="0" borderId="4" xfId="0" applyNumberFormat="1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 readingOrder="2"/>
    </xf>
    <xf numFmtId="3" fontId="57" fillId="0" borderId="1" xfId="0" applyNumberFormat="1" applyFont="1" applyFill="1" applyBorder="1" applyAlignment="1">
      <alignment horizontal="right" vertical="center" wrapText="1" readingOrder="1"/>
    </xf>
    <xf numFmtId="0" fontId="29" fillId="0" borderId="9" xfId="0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 readingOrder="1"/>
    </xf>
    <xf numFmtId="0" fontId="29" fillId="0" borderId="4" xfId="0" applyFont="1" applyFill="1" applyBorder="1" applyAlignment="1">
      <alignment horizontal="center" vertical="center" wrapText="1" readingOrder="1"/>
    </xf>
    <xf numFmtId="0" fontId="57" fillId="76" borderId="9" xfId="0" applyFont="1" applyFill="1" applyBorder="1" applyAlignment="1">
      <alignment vertical="center" wrapText="1" readingOrder="1"/>
    </xf>
    <xf numFmtId="0" fontId="57" fillId="76" borderId="1" xfId="0" applyFont="1" applyFill="1" applyBorder="1" applyAlignment="1">
      <alignment vertical="center" wrapText="1" readingOrder="1"/>
    </xf>
    <xf numFmtId="0" fontId="58" fillId="76" borderId="1" xfId="0" applyFont="1" applyFill="1" applyBorder="1" applyAlignment="1">
      <alignment vertical="center" wrapText="1" readingOrder="1"/>
    </xf>
    <xf numFmtId="9" fontId="58" fillId="0" borderId="1" xfId="0" applyNumberFormat="1" applyFont="1" applyFill="1" applyBorder="1" applyAlignment="1">
      <alignment horizontal="center" vertical="center" wrapText="1" readingOrder="1"/>
    </xf>
    <xf numFmtId="9" fontId="58" fillId="0" borderId="4" xfId="0" applyNumberFormat="1" applyFont="1" applyFill="1" applyBorder="1" applyAlignment="1">
      <alignment horizontal="center" vertical="center" wrapText="1" readingOrder="1"/>
    </xf>
    <xf numFmtId="0" fontId="58" fillId="2" borderId="9" xfId="0" applyFont="1" applyFill="1" applyBorder="1" applyAlignment="1">
      <alignment horizontal="right" vertical="center" readingOrder="1"/>
    </xf>
    <xf numFmtId="0" fontId="58" fillId="2" borderId="1" xfId="0" applyFont="1" applyFill="1" applyBorder="1" applyAlignment="1">
      <alignment horizontal="right" vertical="center" readingOrder="1"/>
    </xf>
    <xf numFmtId="9" fontId="58" fillId="0" borderId="9" xfId="0" applyNumberFormat="1" applyFont="1" applyFill="1" applyBorder="1" applyAlignment="1">
      <alignment vertical="center" wrapText="1" readingOrder="1"/>
    </xf>
    <xf numFmtId="9" fontId="58" fillId="0" borderId="1" xfId="0" applyNumberFormat="1" applyFont="1" applyFill="1" applyBorder="1" applyAlignment="1">
      <alignment vertical="center" wrapText="1" readingOrder="1"/>
    </xf>
    <xf numFmtId="9" fontId="58" fillId="0" borderId="4" xfId="0" applyNumberFormat="1" applyFont="1" applyFill="1" applyBorder="1" applyAlignment="1">
      <alignment vertical="center" wrapText="1" readingOrder="1"/>
    </xf>
    <xf numFmtId="0" fontId="59" fillId="67" borderId="9" xfId="0" applyFont="1" applyFill="1" applyBorder="1" applyAlignment="1">
      <alignment vertical="center" wrapText="1" readingOrder="1"/>
    </xf>
    <xf numFmtId="0" fontId="59" fillId="67" borderId="1" xfId="0" applyFont="1" applyFill="1" applyBorder="1" applyAlignment="1">
      <alignment vertical="center" wrapText="1" readingOrder="1"/>
    </xf>
    <xf numFmtId="0" fontId="58" fillId="2" borderId="9" xfId="0" applyFont="1" applyFill="1" applyBorder="1" applyAlignment="1">
      <alignment horizontal="right" vertical="center" readingOrder="2"/>
    </xf>
    <xf numFmtId="0" fontId="58" fillId="2" borderId="1" xfId="0" applyFont="1" applyFill="1" applyBorder="1" applyAlignment="1">
      <alignment horizontal="right" vertical="center" readingOrder="2"/>
    </xf>
    <xf numFmtId="0" fontId="60" fillId="0" borderId="8" xfId="0" applyFont="1" applyFill="1" applyBorder="1" applyAlignment="1">
      <alignment horizontal="center" vertical="center" wrapText="1" readingOrder="2"/>
    </xf>
    <xf numFmtId="0" fontId="60" fillId="0" borderId="2" xfId="0" applyFont="1" applyFill="1" applyBorder="1" applyAlignment="1">
      <alignment horizontal="center" vertical="center" wrapText="1" readingOrder="2"/>
    </xf>
    <xf numFmtId="0" fontId="60" fillId="0" borderId="3" xfId="0" applyFont="1" applyFill="1" applyBorder="1" applyAlignment="1">
      <alignment horizontal="center" vertical="center" wrapText="1" readingOrder="2"/>
    </xf>
    <xf numFmtId="0" fontId="59" fillId="0" borderId="9" xfId="0" applyFont="1" applyFill="1" applyBorder="1" applyAlignment="1">
      <alignment horizontal="center" vertical="center" wrapText="1" readingOrder="1"/>
    </xf>
    <xf numFmtId="0" fontId="59" fillId="0" borderId="1" xfId="0" applyFont="1" applyFill="1" applyBorder="1" applyAlignment="1">
      <alignment horizontal="center" vertical="center" wrapText="1" readingOrder="1"/>
    </xf>
    <xf numFmtId="0" fontId="59" fillId="76" borderId="9" xfId="0" applyFont="1" applyFill="1" applyBorder="1" applyAlignment="1">
      <alignment vertical="center" wrapText="1" readingOrder="1"/>
    </xf>
    <xf numFmtId="0" fontId="59" fillId="76" borderId="1" xfId="0" applyFont="1" applyFill="1" applyBorder="1" applyAlignment="1">
      <alignment vertical="center" wrapText="1" readingOrder="1"/>
    </xf>
    <xf numFmtId="0" fontId="29" fillId="8" borderId="1" xfId="0" applyFont="1" applyFill="1" applyBorder="1" applyAlignment="1">
      <alignment horizontal="center" vertical="center" wrapText="1" readingOrder="1"/>
    </xf>
    <xf numFmtId="0" fontId="29" fillId="8" borderId="4" xfId="0" applyFont="1" applyFill="1" applyBorder="1" applyAlignment="1">
      <alignment horizontal="center" vertical="center" wrapText="1" readingOrder="1"/>
    </xf>
    <xf numFmtId="0" fontId="59" fillId="30" borderId="5" xfId="0" applyFont="1" applyFill="1" applyBorder="1" applyAlignment="1">
      <alignment vertical="center" wrapText="1" readingOrder="1"/>
    </xf>
    <xf numFmtId="0" fontId="59" fillId="30" borderId="6" xfId="0" applyFont="1" applyFill="1" applyBorder="1" applyAlignment="1">
      <alignment vertical="center" wrapText="1" readingOrder="1"/>
    </xf>
    <xf numFmtId="0" fontId="0" fillId="0" borderId="1" xfId="0" applyBorder="1" applyAlignment="1">
      <alignment horizontal="center"/>
    </xf>
    <xf numFmtId="0" fontId="5" fillId="14" borderId="9" xfId="0" applyFont="1" applyFill="1" applyBorder="1" applyAlignment="1">
      <alignment horizontal="right" vertical="center"/>
    </xf>
    <xf numFmtId="0" fontId="5" fillId="14" borderId="1" xfId="0" applyFont="1" applyFill="1" applyBorder="1" applyAlignment="1">
      <alignment horizontal="right" vertical="center"/>
    </xf>
    <xf numFmtId="0" fontId="5" fillId="14" borderId="4" xfId="0" applyFont="1" applyFill="1" applyBorder="1" applyAlignment="1">
      <alignment horizontal="right" vertical="center"/>
    </xf>
    <xf numFmtId="9" fontId="3" fillId="0" borderId="9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66" borderId="9" xfId="0" applyFont="1" applyFill="1" applyBorder="1" applyAlignment="1">
      <alignment horizontal="right" vertical="center"/>
    </xf>
    <xf numFmtId="0" fontId="5" fillId="66" borderId="1" xfId="0" applyFont="1" applyFill="1" applyBorder="1" applyAlignment="1">
      <alignment horizontal="right" vertical="center"/>
    </xf>
    <xf numFmtId="0" fontId="5" fillId="66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right" vertical="center"/>
    </xf>
    <xf numFmtId="0" fontId="5" fillId="11" borderId="4" xfId="0" applyFont="1" applyFill="1" applyBorder="1" applyAlignment="1">
      <alignment horizontal="right" vertical="center"/>
    </xf>
    <xf numFmtId="0" fontId="50" fillId="0" borderId="9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5" fillId="30" borderId="5" xfId="0" applyFont="1" applyFill="1" applyBorder="1" applyAlignment="1">
      <alignment horizontal="right" vertical="center"/>
    </xf>
    <xf numFmtId="0" fontId="5" fillId="30" borderId="6" xfId="0" applyFont="1" applyFill="1" applyBorder="1" applyAlignment="1">
      <alignment horizontal="right" vertical="center"/>
    </xf>
    <xf numFmtId="0" fontId="2" fillId="76" borderId="9" xfId="0" applyFont="1" applyFill="1" applyBorder="1" applyAlignment="1">
      <alignment vertical="center"/>
    </xf>
    <xf numFmtId="0" fontId="2" fillId="76" borderId="1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6" fillId="67" borderId="9" xfId="0" applyFont="1" applyFill="1" applyBorder="1" applyAlignment="1">
      <alignment horizontal="right" vertical="center"/>
    </xf>
    <xf numFmtId="0" fontId="6" fillId="67" borderId="1" xfId="0" applyFont="1" applyFill="1" applyBorder="1" applyAlignment="1">
      <alignment horizontal="right" vertical="center"/>
    </xf>
    <xf numFmtId="0" fontId="6" fillId="6" borderId="9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right" vertical="center"/>
    </xf>
    <xf numFmtId="0" fontId="6" fillId="15" borderId="1" xfId="0" applyFont="1" applyFill="1" applyBorder="1" applyAlignment="1">
      <alignment horizontal="right" vertical="center"/>
    </xf>
    <xf numFmtId="0" fontId="6" fillId="76" borderId="9" xfId="0" applyFont="1" applyFill="1" applyBorder="1" applyAlignment="1">
      <alignment horizontal="right" vertical="center"/>
    </xf>
    <xf numFmtId="0" fontId="6" fillId="76" borderId="1" xfId="0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76" borderId="9" xfId="0" applyFont="1" applyFill="1" applyBorder="1" applyAlignment="1">
      <alignment horizontal="right" vertical="center"/>
    </xf>
    <xf numFmtId="0" fontId="2" fillId="76" borderId="1" xfId="0" applyFont="1" applyFill="1" applyBorder="1" applyAlignment="1">
      <alignment horizontal="right" vertical="center"/>
    </xf>
    <xf numFmtId="0" fontId="2" fillId="15" borderId="9" xfId="0" applyFont="1" applyFill="1" applyBorder="1" applyAlignment="1">
      <alignment horizontal="right" vertical="center"/>
    </xf>
    <xf numFmtId="0" fontId="2" fillId="15" borderId="1" xfId="0" applyFont="1" applyFill="1" applyBorder="1" applyAlignment="1">
      <alignment horizontal="right" vertical="center"/>
    </xf>
    <xf numFmtId="0" fontId="2" fillId="67" borderId="9" xfId="0" applyFont="1" applyFill="1" applyBorder="1" applyAlignment="1">
      <alignment horizontal="right" vertical="center"/>
    </xf>
    <xf numFmtId="0" fontId="2" fillId="67" borderId="1" xfId="0" applyFont="1" applyFill="1" applyBorder="1" applyAlignment="1">
      <alignment horizontal="right" vertical="center"/>
    </xf>
    <xf numFmtId="0" fontId="5" fillId="12" borderId="9" xfId="0" applyFont="1" applyFill="1" applyBorder="1" applyAlignment="1">
      <alignment horizontal="right" vertical="center"/>
    </xf>
    <xf numFmtId="0" fontId="5" fillId="12" borderId="1" xfId="0" applyFont="1" applyFill="1" applyBorder="1" applyAlignment="1">
      <alignment horizontal="right" vertical="center"/>
    </xf>
    <xf numFmtId="0" fontId="5" fillId="1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right" vertical="center"/>
    </xf>
    <xf numFmtId="0" fontId="5" fillId="17" borderId="1" xfId="0" applyFont="1" applyFill="1" applyBorder="1" applyAlignment="1">
      <alignment horizontal="right" vertical="center"/>
    </xf>
    <xf numFmtId="0" fontId="5" fillId="17" borderId="4" xfId="0" applyFont="1" applyFill="1" applyBorder="1" applyAlignment="1">
      <alignment horizontal="right" vertical="center"/>
    </xf>
    <xf numFmtId="0" fontId="50" fillId="0" borderId="9" xfId="0" applyFont="1" applyFill="1" applyBorder="1" applyAlignment="1">
      <alignment horizontal="center" vertical="center"/>
    </xf>
    <xf numFmtId="0" fontId="5" fillId="78" borderId="9" xfId="0" applyFont="1" applyFill="1" applyBorder="1" applyAlignment="1">
      <alignment horizontal="right" vertical="center"/>
    </xf>
    <xf numFmtId="0" fontId="5" fillId="78" borderId="1" xfId="0" applyFont="1" applyFill="1" applyBorder="1" applyAlignment="1">
      <alignment horizontal="right" vertical="center"/>
    </xf>
    <xf numFmtId="0" fontId="5" fillId="78" borderId="4" xfId="0" applyFont="1" applyFill="1" applyBorder="1" applyAlignment="1">
      <alignment horizontal="right" vertical="center"/>
    </xf>
    <xf numFmtId="0" fontId="2" fillId="30" borderId="5" xfId="0" applyFont="1" applyFill="1" applyBorder="1" applyAlignment="1">
      <alignment horizontal="right" vertical="center"/>
    </xf>
    <xf numFmtId="0" fontId="2" fillId="30" borderId="6" xfId="0" applyFont="1" applyFill="1" applyBorder="1" applyAlignment="1">
      <alignment horizontal="right" vertical="center"/>
    </xf>
    <xf numFmtId="0" fontId="5" fillId="67" borderId="9" xfId="0" applyFont="1" applyFill="1" applyBorder="1" applyAlignment="1">
      <alignment horizontal="right" vertical="center"/>
    </xf>
    <xf numFmtId="0" fontId="5" fillId="67" borderId="1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15" borderId="9" xfId="0" applyFont="1" applyFill="1" applyBorder="1" applyAlignment="1">
      <alignment horizontal="right" vertical="center"/>
    </xf>
    <xf numFmtId="0" fontId="5" fillId="15" borderId="1" xfId="0" applyFont="1" applyFill="1" applyBorder="1" applyAlignment="1">
      <alignment horizontal="right" vertical="center"/>
    </xf>
    <xf numFmtId="0" fontId="2" fillId="6" borderId="9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>
      <alignment horizontal="right" vertical="center"/>
    </xf>
    <xf numFmtId="0" fontId="5" fillId="14" borderId="9" xfId="0" applyFont="1" applyFill="1" applyBorder="1" applyAlignment="1">
      <alignment horizontal="right" vertical="center" wrapText="1"/>
    </xf>
    <xf numFmtId="0" fontId="5" fillId="14" borderId="1" xfId="0" applyFont="1" applyFill="1" applyBorder="1" applyAlignment="1">
      <alignment horizontal="right" vertical="center" wrapText="1"/>
    </xf>
    <xf numFmtId="0" fontId="5" fillId="14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76" borderId="9" xfId="0" applyFont="1" applyFill="1" applyBorder="1" applyAlignment="1">
      <alignment horizontal="right" vertical="center"/>
    </xf>
    <xf numFmtId="0" fontId="5" fillId="76" borderId="1" xfId="0" applyFont="1" applyFill="1" applyBorder="1" applyAlignment="1">
      <alignment horizontal="right" vertical="center"/>
    </xf>
    <xf numFmtId="0" fontId="28" fillId="15" borderId="9" xfId="0" applyFont="1" applyFill="1" applyBorder="1" applyAlignment="1">
      <alignment horizontal="right" vertical="center"/>
    </xf>
    <xf numFmtId="0" fontId="28" fillId="15" borderId="1" xfId="0" applyFont="1" applyFill="1" applyBorder="1" applyAlignment="1">
      <alignment horizontal="right" vertical="center"/>
    </xf>
    <xf numFmtId="0" fontId="28" fillId="14" borderId="9" xfId="0" applyFont="1" applyFill="1" applyBorder="1" applyAlignment="1">
      <alignment horizontal="right" vertical="center"/>
    </xf>
    <xf numFmtId="0" fontId="28" fillId="14" borderId="1" xfId="0" applyFont="1" applyFill="1" applyBorder="1" applyAlignment="1">
      <alignment horizontal="right" vertical="center"/>
    </xf>
    <xf numFmtId="0" fontId="28" fillId="14" borderId="4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5" fillId="12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3" fillId="0" borderId="8" xfId="0" applyFont="1" applyFill="1" applyBorder="1" applyAlignment="1">
      <alignment horizontal="center" vertical="center" textRotation="135" wrapText="1"/>
    </xf>
    <xf numFmtId="0" fontId="53" fillId="0" borderId="2" xfId="0" applyFont="1" applyFill="1" applyBorder="1" applyAlignment="1">
      <alignment horizontal="center" vertical="center" textRotation="135" wrapText="1"/>
    </xf>
    <xf numFmtId="0" fontId="53" fillId="0" borderId="9" xfId="0" applyFont="1" applyFill="1" applyBorder="1" applyAlignment="1">
      <alignment horizontal="center" vertical="center" textRotation="135" wrapText="1"/>
    </xf>
    <xf numFmtId="0" fontId="53" fillId="0" borderId="1" xfId="0" applyFont="1" applyFill="1" applyBorder="1" applyAlignment="1">
      <alignment horizontal="center" vertical="center" textRotation="135" wrapText="1"/>
    </xf>
    <xf numFmtId="0" fontId="51" fillId="0" borderId="1" xfId="0" applyFont="1" applyFill="1" applyBorder="1" applyAlignment="1">
      <alignment horizontal="center" vertical="center"/>
    </xf>
    <xf numFmtId="0" fontId="5" fillId="7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78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77" borderId="1" xfId="0" applyFont="1" applyFill="1" applyBorder="1" applyAlignment="1">
      <alignment horizontal="right" vertical="center"/>
    </xf>
    <xf numFmtId="0" fontId="5" fillId="77" borderId="4" xfId="0" applyFont="1" applyFill="1" applyBorder="1" applyAlignment="1">
      <alignment horizontal="right" vertical="center"/>
    </xf>
    <xf numFmtId="0" fontId="5" fillId="17" borderId="9" xfId="0" applyFont="1" applyFill="1" applyBorder="1" applyAlignment="1">
      <alignment horizontal="right" vertical="center" readingOrder="2"/>
    </xf>
    <xf numFmtId="0" fontId="5" fillId="17" borderId="1" xfId="0" applyFont="1" applyFill="1" applyBorder="1" applyAlignment="1">
      <alignment horizontal="right" vertical="center" readingOrder="2"/>
    </xf>
    <xf numFmtId="0" fontId="5" fillId="17" borderId="4" xfId="0" applyFont="1" applyFill="1" applyBorder="1" applyAlignment="1">
      <alignment horizontal="right" vertical="center" readingOrder="2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right" vertical="center"/>
    </xf>
    <xf numFmtId="0" fontId="28" fillId="3" borderId="4" xfId="0" applyFont="1" applyFill="1" applyBorder="1" applyAlignment="1">
      <alignment horizontal="right" vertical="center"/>
    </xf>
    <xf numFmtId="0" fontId="51" fillId="0" borderId="8" xfId="0" applyFont="1" applyFill="1" applyBorder="1" applyAlignment="1">
      <alignment horizontal="center" vertical="center" textRotation="135" wrapText="1"/>
    </xf>
    <xf numFmtId="0" fontId="51" fillId="0" borderId="2" xfId="0" applyFont="1" applyFill="1" applyBorder="1" applyAlignment="1">
      <alignment horizontal="center" vertical="center" textRotation="135" wrapText="1"/>
    </xf>
    <xf numFmtId="0" fontId="51" fillId="0" borderId="9" xfId="0" applyFont="1" applyFill="1" applyBorder="1" applyAlignment="1">
      <alignment horizontal="center" vertical="center" textRotation="135" wrapText="1"/>
    </xf>
    <xf numFmtId="0" fontId="51" fillId="0" borderId="1" xfId="0" applyFont="1" applyFill="1" applyBorder="1" applyAlignment="1">
      <alignment horizontal="center" vertical="center" textRotation="135" wrapText="1"/>
    </xf>
    <xf numFmtId="0" fontId="5" fillId="3" borderId="28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right" vertical="center"/>
    </xf>
    <xf numFmtId="0" fontId="5" fillId="3" borderId="35" xfId="0" applyFont="1" applyFill="1" applyBorder="1" applyAlignment="1">
      <alignment horizontal="right" vertical="center"/>
    </xf>
    <xf numFmtId="0" fontId="5" fillId="78" borderId="36" xfId="0" applyFont="1" applyFill="1" applyBorder="1" applyAlignment="1">
      <alignment horizontal="center" vertical="center"/>
    </xf>
    <xf numFmtId="0" fontId="5" fillId="78" borderId="37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right" vertical="center"/>
    </xf>
    <xf numFmtId="164" fontId="2" fillId="13" borderId="1" xfId="0" applyNumberFormat="1" applyFont="1" applyFill="1" applyBorder="1" applyAlignment="1">
      <alignment horizontal="right" vertical="center"/>
    </xf>
    <xf numFmtId="0" fontId="2" fillId="16" borderId="1" xfId="0" applyFont="1" applyFill="1" applyBorder="1" applyAlignment="1">
      <alignment horizontal="right" vertical="center"/>
    </xf>
    <xf numFmtId="0" fontId="2" fillId="30" borderId="1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2" fillId="28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5" fillId="29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164" fontId="5" fillId="76" borderId="1" xfId="0" applyNumberFormat="1" applyFont="1" applyFill="1" applyBorder="1" applyAlignment="1">
      <alignment horizontal="right" vertical="center"/>
    </xf>
    <xf numFmtId="164" fontId="2" fillId="72" borderId="1" xfId="0" applyNumberFormat="1" applyFont="1" applyFill="1" applyBorder="1" applyAlignment="1">
      <alignment horizontal="right" vertical="center"/>
    </xf>
    <xf numFmtId="0" fontId="2" fillId="70" borderId="1" xfId="0" applyFont="1" applyFill="1" applyBorder="1" applyAlignment="1">
      <alignment horizontal="right" vertical="center"/>
    </xf>
    <xf numFmtId="164" fontId="2" fillId="71" borderId="1" xfId="0" applyNumberFormat="1" applyFont="1" applyFill="1" applyBorder="1" applyAlignment="1">
      <alignment horizontal="right" vertical="center"/>
    </xf>
    <xf numFmtId="164" fontId="2" fillId="26" borderId="1" xfId="0" applyNumberFormat="1" applyFont="1" applyFill="1" applyBorder="1" applyAlignment="1">
      <alignment horizontal="right" vertical="center"/>
    </xf>
    <xf numFmtId="0" fontId="2" fillId="74" borderId="1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73" borderId="1" xfId="0" applyFont="1" applyFill="1" applyBorder="1" applyAlignment="1">
      <alignment horizontal="center" vertical="center"/>
    </xf>
    <xf numFmtId="0" fontId="5" fillId="7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5" fillId="31" borderId="1" xfId="0" applyFont="1" applyFill="1" applyBorder="1" applyAlignment="1">
      <alignment horizontal="center" vertical="center"/>
    </xf>
    <xf numFmtId="0" fontId="2" fillId="31" borderId="1" xfId="0" applyFont="1" applyFill="1" applyBorder="1" applyAlignment="1">
      <alignment horizontal="center" vertical="center"/>
    </xf>
    <xf numFmtId="0" fontId="5" fillId="7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5" fillId="30" borderId="9" xfId="0" applyNumberFormat="1" applyFont="1" applyFill="1" applyBorder="1" applyAlignment="1">
      <alignment horizontal="right" vertical="center" wrapText="1"/>
    </xf>
    <xf numFmtId="164" fontId="5" fillId="30" borderId="1" xfId="0" applyNumberFormat="1" applyFont="1" applyFill="1" applyBorder="1" applyAlignment="1">
      <alignment horizontal="right" vertical="center" wrapText="1"/>
    </xf>
    <xf numFmtId="164" fontId="5" fillId="75" borderId="9" xfId="0" applyNumberFormat="1" applyFont="1" applyFill="1" applyBorder="1" applyAlignment="1">
      <alignment horizontal="right" vertical="center" wrapText="1"/>
    </xf>
    <xf numFmtId="164" fontId="5" fillId="75" borderId="1" xfId="0" applyNumberFormat="1" applyFont="1" applyFill="1" applyBorder="1" applyAlignment="1">
      <alignment horizontal="right" vertical="center" wrapText="1"/>
    </xf>
    <xf numFmtId="3" fontId="2" fillId="22" borderId="9" xfId="0" applyNumberFormat="1" applyFont="1" applyFill="1" applyBorder="1" applyAlignment="1">
      <alignment horizontal="right" vertical="center" wrapText="1"/>
    </xf>
    <xf numFmtId="3" fontId="2" fillId="22" borderId="1" xfId="0" applyNumberFormat="1" applyFont="1" applyFill="1" applyBorder="1" applyAlignment="1">
      <alignment horizontal="right" vertical="center" wrapText="1"/>
    </xf>
    <xf numFmtId="164" fontId="2" fillId="21" borderId="9" xfId="0" applyNumberFormat="1" applyFont="1" applyFill="1" applyBorder="1" applyAlignment="1">
      <alignment horizontal="right" vertical="center" wrapText="1"/>
    </xf>
    <xf numFmtId="164" fontId="2" fillId="21" borderId="1" xfId="0" applyNumberFormat="1" applyFont="1" applyFill="1" applyBorder="1" applyAlignment="1">
      <alignment horizontal="right" vertical="center" wrapText="1"/>
    </xf>
    <xf numFmtId="164" fontId="2" fillId="5" borderId="9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164" fontId="2" fillId="19" borderId="9" xfId="0" applyNumberFormat="1" applyFont="1" applyFill="1" applyBorder="1" applyAlignment="1">
      <alignment horizontal="right" vertical="center" wrapText="1"/>
    </xf>
    <xf numFmtId="164" fontId="2" fillId="19" borderId="1" xfId="0" applyNumberFormat="1" applyFont="1" applyFill="1" applyBorder="1" applyAlignment="1">
      <alignment horizontal="right" vertical="center" wrapText="1"/>
    </xf>
    <xf numFmtId="0" fontId="2" fillId="20" borderId="9" xfId="0" applyFont="1" applyFill="1" applyBorder="1" applyAlignment="1">
      <alignment horizontal="right" vertical="center" wrapText="1"/>
    </xf>
    <xf numFmtId="0" fontId="2" fillId="20" borderId="1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right"/>
    </xf>
    <xf numFmtId="0" fontId="8" fillId="0" borderId="1" xfId="0" applyFont="1" applyBorder="1" applyAlignment="1">
      <alignment horizontal="right"/>
    </xf>
  </cellXfs>
  <cellStyles count="85">
    <cellStyle name="20% - Accent1" xfId="19" builtinId="30" customBuiltin="1"/>
    <cellStyle name="20% - Accent1 2" xfId="62" xr:uid="{00000000-0005-0000-0000-000001000000}"/>
    <cellStyle name="20% - Accent2" xfId="23" builtinId="34" customBuiltin="1"/>
    <cellStyle name="20% - Accent2 2" xfId="66" xr:uid="{00000000-0005-0000-0000-000003000000}"/>
    <cellStyle name="20% - Accent3" xfId="27" builtinId="38" customBuiltin="1"/>
    <cellStyle name="20% - Accent3 2" xfId="70" xr:uid="{00000000-0005-0000-0000-000005000000}"/>
    <cellStyle name="20% - Accent4" xfId="31" builtinId="42" customBuiltin="1"/>
    <cellStyle name="20% - Accent4 2" xfId="74" xr:uid="{00000000-0005-0000-0000-000007000000}"/>
    <cellStyle name="20% - Accent5" xfId="35" builtinId="46" customBuiltin="1"/>
    <cellStyle name="20% - Accent5 2" xfId="78" xr:uid="{00000000-0005-0000-0000-000009000000}"/>
    <cellStyle name="20% - Accent6" xfId="39" builtinId="50" customBuiltin="1"/>
    <cellStyle name="20% - Accent6 2" xfId="82" xr:uid="{00000000-0005-0000-0000-00000B000000}"/>
    <cellStyle name="40% - Accent1" xfId="20" builtinId="31" customBuiltin="1"/>
    <cellStyle name="40% - Accent1 2" xfId="63" xr:uid="{00000000-0005-0000-0000-00000D000000}"/>
    <cellStyle name="40% - Accent2" xfId="24" builtinId="35" customBuiltin="1"/>
    <cellStyle name="40% - Accent2 2" xfId="67" xr:uid="{00000000-0005-0000-0000-00000F000000}"/>
    <cellStyle name="40% - Accent3" xfId="28" builtinId="39" customBuiltin="1"/>
    <cellStyle name="40% - Accent3 2" xfId="71" xr:uid="{00000000-0005-0000-0000-000011000000}"/>
    <cellStyle name="40% - Accent4" xfId="32" builtinId="43" customBuiltin="1"/>
    <cellStyle name="40% - Accent4 2" xfId="75" xr:uid="{00000000-0005-0000-0000-000013000000}"/>
    <cellStyle name="40% - Accent5" xfId="36" builtinId="47" customBuiltin="1"/>
    <cellStyle name="40% - Accent5 2" xfId="79" xr:uid="{00000000-0005-0000-0000-000015000000}"/>
    <cellStyle name="40% - Accent6" xfId="40" builtinId="51" customBuiltin="1"/>
    <cellStyle name="40% - Accent6 2" xfId="83" xr:uid="{00000000-0005-0000-0000-000017000000}"/>
    <cellStyle name="60% - Accent1" xfId="21" builtinId="32" customBuiltin="1"/>
    <cellStyle name="60% - Accent1 2" xfId="64" xr:uid="{00000000-0005-0000-0000-000019000000}"/>
    <cellStyle name="60% - Accent2" xfId="25" builtinId="36" customBuiltin="1"/>
    <cellStyle name="60% - Accent2 2" xfId="68" xr:uid="{00000000-0005-0000-0000-00001B000000}"/>
    <cellStyle name="60% - Accent3" xfId="29" builtinId="40" customBuiltin="1"/>
    <cellStyle name="60% - Accent3 2" xfId="72" xr:uid="{00000000-0005-0000-0000-00001D000000}"/>
    <cellStyle name="60% - Accent4" xfId="33" builtinId="44" customBuiltin="1"/>
    <cellStyle name="60% - Accent4 2" xfId="76" xr:uid="{00000000-0005-0000-0000-00001F000000}"/>
    <cellStyle name="60% - Accent5" xfId="37" builtinId="48" customBuiltin="1"/>
    <cellStyle name="60% - Accent5 2" xfId="80" xr:uid="{00000000-0005-0000-0000-000021000000}"/>
    <cellStyle name="60% - Accent6" xfId="41" builtinId="52" customBuiltin="1"/>
    <cellStyle name="60% - Accent6 2" xfId="84" xr:uid="{00000000-0005-0000-0000-000023000000}"/>
    <cellStyle name="Accent1" xfId="18" builtinId="29" customBuiltin="1"/>
    <cellStyle name="Accent1 2" xfId="61" xr:uid="{00000000-0005-0000-0000-000025000000}"/>
    <cellStyle name="Accent2" xfId="22" builtinId="33" customBuiltin="1"/>
    <cellStyle name="Accent2 2" xfId="65" xr:uid="{00000000-0005-0000-0000-000027000000}"/>
    <cellStyle name="Accent3" xfId="26" builtinId="37" customBuiltin="1"/>
    <cellStyle name="Accent3 2" xfId="69" xr:uid="{00000000-0005-0000-0000-000029000000}"/>
    <cellStyle name="Accent4" xfId="30" builtinId="41" customBuiltin="1"/>
    <cellStyle name="Accent4 2" xfId="73" xr:uid="{00000000-0005-0000-0000-00002B000000}"/>
    <cellStyle name="Accent5" xfId="34" builtinId="45" customBuiltin="1"/>
    <cellStyle name="Accent5 2" xfId="77" xr:uid="{00000000-0005-0000-0000-00002D000000}"/>
    <cellStyle name="Accent6" xfId="38" builtinId="49" customBuiltin="1"/>
    <cellStyle name="Accent6 2" xfId="81" xr:uid="{00000000-0005-0000-0000-00002F000000}"/>
    <cellStyle name="Bad" xfId="7" builtinId="27" customBuiltin="1"/>
    <cellStyle name="Bad 2" xfId="50" xr:uid="{00000000-0005-0000-0000-000031000000}"/>
    <cellStyle name="Calculation" xfId="11" builtinId="22" customBuiltin="1"/>
    <cellStyle name="Calculation 2" xfId="54" xr:uid="{00000000-0005-0000-0000-000033000000}"/>
    <cellStyle name="Check Cell" xfId="13" builtinId="23" customBuiltin="1"/>
    <cellStyle name="Check Cell 2" xfId="56" xr:uid="{00000000-0005-0000-0000-000035000000}"/>
    <cellStyle name="Explanatory Text" xfId="16" builtinId="53" customBuiltin="1"/>
    <cellStyle name="Explanatory Text 2" xfId="59" xr:uid="{00000000-0005-0000-0000-000037000000}"/>
    <cellStyle name="Good" xfId="6" builtinId="26" customBuiltin="1"/>
    <cellStyle name="Good 2" xfId="49" xr:uid="{00000000-0005-0000-0000-000039000000}"/>
    <cellStyle name="Heading 1" xfId="2" builtinId="16" customBuiltin="1"/>
    <cellStyle name="Heading 1 2" xfId="45" xr:uid="{00000000-0005-0000-0000-00003B000000}"/>
    <cellStyle name="Heading 2" xfId="3" builtinId="17" customBuiltin="1"/>
    <cellStyle name="Heading 2 2" xfId="46" xr:uid="{00000000-0005-0000-0000-00003D000000}"/>
    <cellStyle name="Heading 3" xfId="4" builtinId="18" customBuiltin="1"/>
    <cellStyle name="Heading 3 2" xfId="47" xr:uid="{00000000-0005-0000-0000-00003F000000}"/>
    <cellStyle name="Heading 4" xfId="5" builtinId="19" customBuiltin="1"/>
    <cellStyle name="Heading 4 2" xfId="48" xr:uid="{00000000-0005-0000-0000-000041000000}"/>
    <cellStyle name="Input" xfId="9" builtinId="20" customBuiltin="1"/>
    <cellStyle name="Input 2" xfId="52" xr:uid="{00000000-0005-0000-0000-000043000000}"/>
    <cellStyle name="Linked Cell" xfId="12" builtinId="24" customBuiltin="1"/>
    <cellStyle name="Linked Cell 2" xfId="55" xr:uid="{00000000-0005-0000-0000-000045000000}"/>
    <cellStyle name="Neutral" xfId="8" builtinId="28" customBuiltin="1"/>
    <cellStyle name="Neutral 2" xfId="51" xr:uid="{00000000-0005-0000-0000-000047000000}"/>
    <cellStyle name="Normal" xfId="0" builtinId="0"/>
    <cellStyle name="Normal 2" xfId="42" xr:uid="{00000000-0005-0000-0000-000049000000}"/>
    <cellStyle name="Normal 3" xfId="43" xr:uid="{00000000-0005-0000-0000-00004A000000}"/>
    <cellStyle name="Note" xfId="15" builtinId="10" customBuiltin="1"/>
    <cellStyle name="Note 2" xfId="58" xr:uid="{00000000-0005-0000-0000-00004C000000}"/>
    <cellStyle name="Output" xfId="10" builtinId="21" customBuiltin="1"/>
    <cellStyle name="Output 2" xfId="53" xr:uid="{00000000-0005-0000-0000-00004E000000}"/>
    <cellStyle name="Title" xfId="1" builtinId="15" customBuiltin="1"/>
    <cellStyle name="Title 2" xfId="44" xr:uid="{00000000-0005-0000-0000-000050000000}"/>
    <cellStyle name="Total" xfId="17" builtinId="25" customBuiltin="1"/>
    <cellStyle name="Total 2" xfId="60" xr:uid="{00000000-0005-0000-0000-000052000000}"/>
    <cellStyle name="Warning Text" xfId="14" builtinId="11" customBuiltin="1"/>
    <cellStyle name="Warning Text 2" xfId="57" xr:uid="{00000000-0005-0000-0000-000054000000}"/>
  </cellStyles>
  <dxfs count="4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99"/>
      <color rgb="FF33CCFF"/>
      <color rgb="FFD6DCE4"/>
      <color rgb="FF00CC99"/>
      <color rgb="FF00FF99"/>
      <color rgb="FFFFCCFF"/>
      <color rgb="FF9999FF"/>
      <color rgb="FFFF0066"/>
      <color rgb="FFA9D08E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606;-&#1605;&#1608;&#1575;&#1583;'!A1"/><Relationship Id="rId3" Type="http://schemas.openxmlformats.org/officeDocument/2006/relationships/hyperlink" Target="#'&#1606;-&#1576;&#1575;&#1576;'!A1"/><Relationship Id="rId7" Type="http://schemas.openxmlformats.org/officeDocument/2006/relationships/hyperlink" Target="#'&#1606;-&#1601;&#1589;&#1604;'!A1"/><Relationship Id="rId2" Type="http://schemas.openxmlformats.org/officeDocument/2006/relationships/hyperlink" Target="#'&#1585;-&#1576;&#1575;&#1576;'!A1"/><Relationship Id="rId1" Type="http://schemas.openxmlformats.org/officeDocument/2006/relationships/hyperlink" Target="#&#1582;&#1604;&#1575;&#1589;&#1577;!A1"/><Relationship Id="rId6" Type="http://schemas.openxmlformats.org/officeDocument/2006/relationships/hyperlink" Target="#'&#1585;-&#1601;&#1585;&#1593;&#1610;'!A1"/><Relationship Id="rId11" Type="http://schemas.openxmlformats.org/officeDocument/2006/relationships/image" Target="../media/image1.png"/><Relationship Id="rId5" Type="http://schemas.openxmlformats.org/officeDocument/2006/relationships/hyperlink" Target="#'&#1585;-&#1605;&#1608;&#1575;&#1583;'!A1"/><Relationship Id="rId10" Type="http://schemas.openxmlformats.org/officeDocument/2006/relationships/hyperlink" Target="#' &#1580;&#1607;&#1575;&#1578;'!A1"/><Relationship Id="rId4" Type="http://schemas.openxmlformats.org/officeDocument/2006/relationships/hyperlink" Target="#'&#1585;-&#1601;&#1589;&#1604;'!A1"/><Relationship Id="rId9" Type="http://schemas.openxmlformats.org/officeDocument/2006/relationships/hyperlink" Target="#'&#1606;-&#1601;&#1585;&#1593;&#1610;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666751</xdr:colOff>
      <xdr:row>1</xdr:row>
      <xdr:rowOff>57150</xdr:rowOff>
    </xdr:from>
    <xdr:to>
      <xdr:col>17</xdr:col>
      <xdr:colOff>657225</xdr:colOff>
      <xdr:row>5</xdr:row>
      <xdr:rowOff>133349</xdr:rowOff>
    </xdr:to>
    <xdr:sp macro="" textlink="">
      <xdr:nvSpPr>
        <xdr:cNvPr id="2" name="Bev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5975" y="238125"/>
          <a:ext cx="7534274" cy="80009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3200">
              <a:solidFill>
                <a:schemeClr val="tx1"/>
              </a:solidFill>
              <a:effectLst>
                <a:glow rad="228600">
                  <a:schemeClr val="accent4">
                    <a:satMod val="175000"/>
                    <a:alpha val="40000"/>
                  </a:schemeClr>
                </a:glow>
              </a:effectLst>
              <a:latin typeface="Andalus" panose="02020603050405020304" pitchFamily="18" charset="-78"/>
              <a:cs typeface="Andalus" panose="02020603050405020304" pitchFamily="18" charset="-78"/>
            </a:rPr>
            <a:t>مشروع موازنة جامعة آل البيت لعام</a:t>
          </a:r>
          <a:r>
            <a:rPr lang="ar-SA" sz="3200" baseline="0">
              <a:solidFill>
                <a:schemeClr val="tx1"/>
              </a:solidFill>
              <a:effectLst>
                <a:glow rad="228600">
                  <a:schemeClr val="accent4">
                    <a:satMod val="175000"/>
                    <a:alpha val="40000"/>
                  </a:schemeClr>
                </a:glow>
              </a:effectLst>
              <a:latin typeface="Andalus" panose="02020603050405020304" pitchFamily="18" charset="-78"/>
              <a:cs typeface="Andalus" panose="02020603050405020304" pitchFamily="18" charset="-78"/>
            </a:rPr>
            <a:t> </a:t>
          </a:r>
          <a:r>
            <a:rPr lang="en-US" sz="3200" baseline="0">
              <a:solidFill>
                <a:schemeClr val="tx1"/>
              </a:solidFill>
              <a:effectLst>
                <a:glow rad="228600">
                  <a:schemeClr val="accent4">
                    <a:satMod val="175000"/>
                    <a:alpha val="40000"/>
                  </a:schemeClr>
                </a:glow>
              </a:effectLst>
              <a:latin typeface="Andalus" panose="02020603050405020304" pitchFamily="18" charset="-78"/>
              <a:cs typeface="Andalus" panose="02020603050405020304" pitchFamily="18" charset="-78"/>
            </a:rPr>
            <a:t>2020</a:t>
          </a:r>
          <a:endParaRPr lang="ar-JO" sz="3200">
            <a:solidFill>
              <a:schemeClr val="tx1"/>
            </a:solidFill>
            <a:effectLst>
              <a:glow rad="228600">
                <a:schemeClr val="accent4">
                  <a:satMod val="175000"/>
                  <a:alpha val="40000"/>
                </a:schemeClr>
              </a:glow>
            </a:effectLst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10</xdr:col>
      <xdr:colOff>676275</xdr:colOff>
      <xdr:row>15</xdr:row>
      <xdr:rowOff>9525</xdr:rowOff>
    </xdr:from>
    <xdr:to>
      <xdr:col>13</xdr:col>
      <xdr:colOff>657225</xdr:colOff>
      <xdr:row>17</xdr:row>
      <xdr:rowOff>171450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29175" y="2724150"/>
          <a:ext cx="2038350" cy="523875"/>
        </a:xfrm>
        <a:prstGeom prst="rect">
          <a:avLst/>
        </a:prstGeom>
        <a:solidFill>
          <a:srgbClr val="FFFF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خلاصة مشروع الموازنة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6</xdr:col>
      <xdr:colOff>676275</xdr:colOff>
      <xdr:row>7</xdr:row>
      <xdr:rowOff>9525</xdr:rowOff>
    </xdr:from>
    <xdr:to>
      <xdr:col>9</xdr:col>
      <xdr:colOff>666750</xdr:colOff>
      <xdr:row>10</xdr:row>
      <xdr:rowOff>0</xdr:rowOff>
    </xdr:to>
    <xdr:sp macro="" textlink="">
      <xdr:nvSpPr>
        <xdr:cNvPr id="14" name="Rectangl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562850" y="1276350"/>
          <a:ext cx="2047875" cy="5334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>
          <a:sp3d extrusionH="57150">
            <a:bevelT w="38100" h="38100"/>
          </a:sp3d>
        </a:bodyPr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إيرادات- أبواب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14</xdr:col>
      <xdr:colOff>676275</xdr:colOff>
      <xdr:row>7</xdr:row>
      <xdr:rowOff>9525</xdr:rowOff>
    </xdr:from>
    <xdr:to>
      <xdr:col>17</xdr:col>
      <xdr:colOff>676275</xdr:colOff>
      <xdr:row>10</xdr:row>
      <xdr:rowOff>0</xdr:rowOff>
    </xdr:to>
    <xdr:sp macro="" textlink="">
      <xdr:nvSpPr>
        <xdr:cNvPr id="15" name="Rectangl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066925" y="1276350"/>
          <a:ext cx="2057400" cy="5334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نفقات- أبواب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6</xdr:col>
      <xdr:colOff>676275</xdr:colOff>
      <xdr:row>11</xdr:row>
      <xdr:rowOff>19050</xdr:rowOff>
    </xdr:from>
    <xdr:to>
      <xdr:col>9</xdr:col>
      <xdr:colOff>666750</xdr:colOff>
      <xdr:row>14</xdr:row>
      <xdr:rowOff>9525</xdr:rowOff>
    </xdr:to>
    <xdr:sp macro="" textlink="">
      <xdr:nvSpPr>
        <xdr:cNvPr id="16" name="Rectangl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562850" y="2009775"/>
          <a:ext cx="2047875" cy="5334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effectLst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>
          <a:sp3d extrusionH="57150">
            <a:bevelT w="38100" h="38100"/>
          </a:sp3d>
        </a:bodyPr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إيرادات- فصول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6</xdr:col>
      <xdr:colOff>676275</xdr:colOff>
      <xdr:row>15</xdr:row>
      <xdr:rowOff>9525</xdr:rowOff>
    </xdr:from>
    <xdr:to>
      <xdr:col>9</xdr:col>
      <xdr:colOff>666750</xdr:colOff>
      <xdr:row>18</xdr:row>
      <xdr:rowOff>0</xdr:rowOff>
    </xdr:to>
    <xdr:sp macro="" textlink="">
      <xdr:nvSpPr>
        <xdr:cNvPr id="17" name="Rectangl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562850" y="2724150"/>
          <a:ext cx="2047875" cy="533400"/>
        </a:xfrm>
        <a:prstGeom prst="rect">
          <a:avLst/>
        </a:prstGeom>
        <a:solidFill>
          <a:srgbClr val="CCECFF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إيرادات- مواد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6</xdr:col>
      <xdr:colOff>676275</xdr:colOff>
      <xdr:row>19</xdr:row>
      <xdr:rowOff>19050</xdr:rowOff>
    </xdr:from>
    <xdr:to>
      <xdr:col>9</xdr:col>
      <xdr:colOff>666750</xdr:colOff>
      <xdr:row>22</xdr:row>
      <xdr:rowOff>9525</xdr:rowOff>
    </xdr:to>
    <xdr:sp macro="" textlink="">
      <xdr:nvSpPr>
        <xdr:cNvPr id="18" name="Rectangl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562850" y="3457575"/>
          <a:ext cx="2047875" cy="5334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إيرادات- </a:t>
          </a:r>
          <a:r>
            <a:rPr lang="ar-MA" sz="2000">
              <a:solidFill>
                <a:schemeClr val="tx1"/>
              </a:solidFill>
              <a:effectLst/>
              <a:latin typeface="Andalus" panose="02020603050405020304" pitchFamily="18" charset="-78"/>
              <a:cs typeface="Andalus" panose="02020603050405020304" pitchFamily="18" charset="-78"/>
            </a:rPr>
            <a:t>فرعي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14</xdr:col>
      <xdr:colOff>676275</xdr:colOff>
      <xdr:row>11</xdr:row>
      <xdr:rowOff>9525</xdr:rowOff>
    </xdr:from>
    <xdr:to>
      <xdr:col>17</xdr:col>
      <xdr:colOff>676275</xdr:colOff>
      <xdr:row>14</xdr:row>
      <xdr:rowOff>0</xdr:rowOff>
    </xdr:to>
    <xdr:sp macro="" textlink="">
      <xdr:nvSpPr>
        <xdr:cNvPr id="19" name="Rectangl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066925" y="2000250"/>
          <a:ext cx="2057400" cy="5334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نفقات- فصول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14</xdr:col>
      <xdr:colOff>676275</xdr:colOff>
      <xdr:row>15</xdr:row>
      <xdr:rowOff>9525</xdr:rowOff>
    </xdr:from>
    <xdr:to>
      <xdr:col>17</xdr:col>
      <xdr:colOff>676275</xdr:colOff>
      <xdr:row>18</xdr:row>
      <xdr:rowOff>0</xdr:rowOff>
    </xdr:to>
    <xdr:sp macro="" textlink="">
      <xdr:nvSpPr>
        <xdr:cNvPr id="20" name="Rectangl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066925" y="2724150"/>
          <a:ext cx="2057400" cy="533400"/>
        </a:xfrm>
        <a:prstGeom prst="rect">
          <a:avLst/>
        </a:prstGeom>
        <a:solidFill>
          <a:srgbClr val="CCECFF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نفقات- مواد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14</xdr:col>
      <xdr:colOff>676275</xdr:colOff>
      <xdr:row>19</xdr:row>
      <xdr:rowOff>9525</xdr:rowOff>
    </xdr:from>
    <xdr:to>
      <xdr:col>17</xdr:col>
      <xdr:colOff>676275</xdr:colOff>
      <xdr:row>22</xdr:row>
      <xdr:rowOff>0</xdr:rowOff>
    </xdr:to>
    <xdr:sp macro="" textlink="">
      <xdr:nvSpPr>
        <xdr:cNvPr id="21" name="Rectangl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066925" y="3448050"/>
          <a:ext cx="2057400" cy="5334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نفقات- </a:t>
          </a:r>
          <a:r>
            <a:rPr lang="ar-M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فرعي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10</xdr:col>
      <xdr:colOff>666750</xdr:colOff>
      <xdr:row>19</xdr:row>
      <xdr:rowOff>9525</xdr:rowOff>
    </xdr:from>
    <xdr:to>
      <xdr:col>13</xdr:col>
      <xdr:colOff>666750</xdr:colOff>
      <xdr:row>22</xdr:row>
      <xdr:rowOff>0</xdr:rowOff>
    </xdr:to>
    <xdr:sp macro="" textlink="">
      <xdr:nvSpPr>
        <xdr:cNvPr id="23" name="Rectangl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819650" y="3448050"/>
          <a:ext cx="2057400" cy="533400"/>
        </a:xfrm>
        <a:prstGeom prst="rect">
          <a:avLst/>
        </a:prstGeom>
        <a:solidFill>
          <a:srgbClr val="FFCCFF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>
              <a:solidFill>
                <a:schemeClr val="tx1"/>
              </a:solidFill>
              <a:effectLst/>
              <a:latin typeface="Andalus" panose="02020603050405020304" pitchFamily="18" charset="-78"/>
              <a:ea typeface="+mn-ea"/>
              <a:cs typeface="Andalus" panose="02020603050405020304" pitchFamily="18" charset="-78"/>
            </a:rPr>
            <a:t>موازنة حسب الجهات</a:t>
          </a:r>
          <a:endParaRPr lang="ar-JO" sz="2000">
            <a:solidFill>
              <a:schemeClr val="tx1"/>
            </a:solidFill>
            <a:effectLst/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  <xdr:twoCellAnchor>
    <xdr:from>
      <xdr:col>11</xdr:col>
      <xdr:colOff>247650</xdr:colOff>
      <xdr:row>6</xdr:row>
      <xdr:rowOff>57150</xdr:rowOff>
    </xdr:from>
    <xdr:to>
      <xdr:col>13</xdr:col>
      <xdr:colOff>400050</xdr:colOff>
      <xdr:row>14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143000"/>
          <a:ext cx="1524000" cy="1400175"/>
        </a:xfrm>
        <a:prstGeom prst="rect">
          <a:avLst/>
        </a:prstGeom>
        <a:gradFill>
          <a:gsLst>
            <a:gs pos="37000">
              <a:srgbClr val="5BE9DC"/>
            </a:gs>
            <a:gs pos="0">
              <a:srgbClr val="00FFCC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  <xdr:twoCellAnchor>
    <xdr:from>
      <xdr:col>6</xdr:col>
      <xdr:colOff>676275</xdr:colOff>
      <xdr:row>23</xdr:row>
      <xdr:rowOff>9526</xdr:rowOff>
    </xdr:from>
    <xdr:to>
      <xdr:col>17</xdr:col>
      <xdr:colOff>676275</xdr:colOff>
      <xdr:row>25</xdr:row>
      <xdr:rowOff>171450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066925" y="4171951"/>
          <a:ext cx="7543800" cy="52387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800">
              <a:solidFill>
                <a:schemeClr val="tx1"/>
              </a:solidFill>
              <a:effectLst>
                <a:glow rad="63500">
                  <a:schemeClr val="accent2">
                    <a:satMod val="175000"/>
                    <a:alpha val="40000"/>
                  </a:schemeClr>
                </a:glow>
              </a:effectLst>
              <a:latin typeface="Andalus" panose="02020603050405020304" pitchFamily="18" charset="-78"/>
              <a:cs typeface="Andalus" panose="02020603050405020304" pitchFamily="18" charset="-78"/>
            </a:rPr>
            <a:t>إعداد دائرة الشؤون المالية / شعبة الموازنة</a:t>
          </a:r>
          <a:endParaRPr lang="ar-JO" sz="1800">
            <a:solidFill>
              <a:schemeClr val="tx1"/>
            </a:solidFill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  <a:latin typeface="Andalus" panose="02020603050405020304" pitchFamily="18" charset="-78"/>
            <a:cs typeface="Andalus" panose="02020603050405020304" pitchFamily="18" charset="-78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ddam Al-Khaldi" id="{02B796B2-F599-4A4D-87E6-260ADFD6B0DD}" userId="417c985d17f6410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483" dT="2020-09-27T04:44:46.45" personId="{02B796B2-F599-4A4D-87E6-260ADFD6B0DD}" id="{11156FC0-8D25-408B-9CA9-DCD286346205}">
    <text>العجز هو 15.875 ولكن تم تخصيص مبلغ لتسديد سلفة وزارة المالية بشكل منفصل لذلك تم تخفيضه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V28"/>
  <sheetViews>
    <sheetView showGridLines="0" showRowColHeaders="0" rightToLeft="1" topLeftCell="D3" workbookViewId="0">
      <selection activeCell="E17" sqref="E17"/>
    </sheetView>
  </sheetViews>
  <sheetFormatPr defaultColWidth="0" defaultRowHeight="14.25" zeroHeight="1" x14ac:dyDescent="0.2"/>
  <cols>
    <col min="1" max="3" width="9" hidden="1" customWidth="1"/>
    <col min="4" max="21" width="9" customWidth="1"/>
    <col min="22" max="22" width="0" hidden="1" customWidth="1"/>
    <col min="23" max="16384" width="9" hidden="1"/>
  </cols>
  <sheetData>
    <row r="1" spans="6:20" x14ac:dyDescent="0.2"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6:20" x14ac:dyDescent="0.2"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6:20" x14ac:dyDescent="0.2">
      <c r="F3" s="3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</row>
    <row r="4" spans="6:20" x14ac:dyDescent="0.2">
      <c r="F4" s="3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6:20" x14ac:dyDescent="0.2"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</row>
    <row r="6" spans="6:20" x14ac:dyDescent="0.2"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</row>
    <row r="7" spans="6:20" x14ac:dyDescent="0.2"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</row>
    <row r="8" spans="6:20" x14ac:dyDescent="0.2"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</row>
    <row r="9" spans="6:20" x14ac:dyDescent="0.2"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</row>
    <row r="10" spans="6:20" x14ac:dyDescent="0.2"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6:20" x14ac:dyDescent="0.2"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6:20" x14ac:dyDescent="0.2"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6:20" x14ac:dyDescent="0.2"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</row>
    <row r="14" spans="6:20" x14ac:dyDescent="0.2"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</row>
    <row r="15" spans="6:20" x14ac:dyDescent="0.2"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</row>
    <row r="16" spans="6:20" x14ac:dyDescent="0.2"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</row>
    <row r="17" spans="5:20" x14ac:dyDescent="0.2"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</row>
    <row r="18" spans="5:20" x14ac:dyDescent="0.2"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</row>
    <row r="19" spans="5:20" x14ac:dyDescent="0.2"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</row>
    <row r="20" spans="5:20" x14ac:dyDescent="0.2"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</row>
    <row r="21" spans="5:20" x14ac:dyDescent="0.2"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5:20" ht="14.25" customHeight="1" x14ac:dyDescent="0.35">
      <c r="E22" s="24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2"/>
    </row>
    <row r="23" spans="5:20" x14ac:dyDescent="0.2">
      <c r="E23" s="25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1"/>
      <c r="S23" s="41"/>
      <c r="T23" s="42"/>
    </row>
    <row r="24" spans="5:20" x14ac:dyDescent="0.2"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5:20" x14ac:dyDescent="0.2"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5:20" x14ac:dyDescent="0.2"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</row>
    <row r="27" spans="5:20" ht="15" thickBot="1" x14ac:dyDescent="0.25"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</row>
    <row r="28" spans="5:20" x14ac:dyDescent="0.2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V418"/>
  <sheetViews>
    <sheetView rightToLeft="1" zoomScaleNormal="100" workbookViewId="0">
      <pane ySplit="3" topLeftCell="A365" activePane="bottomLeft" state="frozen"/>
      <selection pane="bottomLeft" activeCell="F2" sqref="F1:K1048576"/>
    </sheetView>
  </sheetViews>
  <sheetFormatPr defaultRowHeight="14.25" x14ac:dyDescent="0.2"/>
  <cols>
    <col min="1" max="1" width="1.625" customWidth="1"/>
    <col min="2" max="2" width="4" style="9" bestFit="1" customWidth="1"/>
    <col min="3" max="3" width="2.75" style="9" bestFit="1" customWidth="1"/>
    <col min="4" max="4" width="9" style="14" bestFit="1" customWidth="1"/>
    <col min="5" max="5" width="45.625" style="174" bestFit="1" customWidth="1"/>
    <col min="6" max="6" width="7.625" style="9" bestFit="1" customWidth="1"/>
    <col min="7" max="7" width="11.625" style="9" bestFit="1" customWidth="1"/>
    <col min="8" max="8" width="7.625" style="9" bestFit="1" customWidth="1"/>
    <col min="9" max="9" width="6.875" style="9" bestFit="1" customWidth="1"/>
    <col min="10" max="10" width="7.625" style="9" bestFit="1" customWidth="1"/>
    <col min="11" max="11" width="5.25" style="207" bestFit="1" customWidth="1"/>
    <col min="12" max="12" width="3.375" customWidth="1"/>
    <col min="13" max="13" width="8.625" bestFit="1" customWidth="1"/>
    <col min="14" max="15" width="7.625" bestFit="1" customWidth="1"/>
    <col min="16" max="16" width="6.875" bestFit="1" customWidth="1"/>
    <col min="17" max="17" width="7.625" bestFit="1" customWidth="1"/>
  </cols>
  <sheetData>
    <row r="1" spans="2:13" s="201" customFormat="1" ht="15.75" x14ac:dyDescent="0.2">
      <c r="B1" s="525" t="s">
        <v>0</v>
      </c>
      <c r="C1" s="526"/>
      <c r="D1" s="423" t="s">
        <v>664</v>
      </c>
      <c r="E1" s="423"/>
      <c r="F1" s="423"/>
      <c r="G1" s="423"/>
      <c r="H1" s="423"/>
      <c r="I1" s="423"/>
      <c r="J1" s="423"/>
      <c r="K1" s="424"/>
    </row>
    <row r="2" spans="2:13" s="201" customFormat="1" ht="12.75" x14ac:dyDescent="0.2">
      <c r="B2" s="527"/>
      <c r="C2" s="528"/>
      <c r="D2" s="467" t="s">
        <v>339</v>
      </c>
      <c r="E2" s="453" t="s">
        <v>340</v>
      </c>
      <c r="F2" s="302" t="s">
        <v>603</v>
      </c>
      <c r="G2" s="302" t="s">
        <v>604</v>
      </c>
      <c r="H2" s="292" t="s">
        <v>605</v>
      </c>
      <c r="I2" s="302" t="s">
        <v>606</v>
      </c>
      <c r="J2" s="302" t="s">
        <v>603</v>
      </c>
      <c r="K2" s="303" t="s">
        <v>651</v>
      </c>
    </row>
    <row r="3" spans="2:13" s="201" customFormat="1" ht="12.75" x14ac:dyDescent="0.2">
      <c r="B3" s="527"/>
      <c r="C3" s="528"/>
      <c r="D3" s="467"/>
      <c r="E3" s="453"/>
      <c r="F3" s="419">
        <v>2019</v>
      </c>
      <c r="G3" s="419"/>
      <c r="H3" s="419"/>
      <c r="I3" s="419"/>
      <c r="J3" s="420">
        <v>2020</v>
      </c>
      <c r="K3" s="421"/>
    </row>
    <row r="4" spans="2:13" x14ac:dyDescent="0.2">
      <c r="B4" s="407" t="s">
        <v>263</v>
      </c>
      <c r="C4" s="408"/>
      <c r="D4" s="408"/>
      <c r="E4" s="408"/>
      <c r="F4" s="408"/>
      <c r="G4" s="408"/>
      <c r="H4" s="408"/>
      <c r="I4" s="408"/>
      <c r="J4" s="408"/>
      <c r="K4" s="409"/>
    </row>
    <row r="5" spans="2:13" x14ac:dyDescent="0.2">
      <c r="B5" s="468" t="s">
        <v>255</v>
      </c>
      <c r="C5" s="469"/>
      <c r="D5" s="469"/>
      <c r="E5" s="469"/>
      <c r="F5" s="469"/>
      <c r="G5" s="469"/>
      <c r="H5" s="469"/>
      <c r="I5" s="469"/>
      <c r="J5" s="469"/>
      <c r="K5" s="470"/>
    </row>
    <row r="6" spans="2:13" x14ac:dyDescent="0.2">
      <c r="B6" s="498">
        <v>1</v>
      </c>
      <c r="C6" s="500" t="s">
        <v>108</v>
      </c>
      <c r="D6" s="500"/>
      <c r="E6" s="500"/>
      <c r="F6" s="500"/>
      <c r="G6" s="500"/>
      <c r="H6" s="500"/>
      <c r="I6" s="500"/>
      <c r="J6" s="500"/>
      <c r="K6" s="501"/>
    </row>
    <row r="7" spans="2:13" ht="14.25" customHeight="1" x14ac:dyDescent="0.2">
      <c r="B7" s="498"/>
      <c r="C7" s="499">
        <v>1</v>
      </c>
      <c r="D7" s="28">
        <v>20101001</v>
      </c>
      <c r="E7" s="175" t="s">
        <v>17</v>
      </c>
      <c r="F7" s="11">
        <f>IF(' جهات'!G54+' جهات'!G60+' جهات'!G65+' جهات'!G74+' جهات'!G83+' جهات'!G94+' جهات'!G101+' جهات'!G110+' جهات'!G115+' جهات'!G125+' جهات'!G130+' جهات'!G216+' جهات'!G359&gt;0,' جهات'!G54+' جهات'!G60+' جهات'!G65+' جهات'!G74+' جهات'!G83+' جهات'!G94+' جهات'!G101+' جهات'!G110+' جهات'!G115+' جهات'!G125+' جهات'!G130+' جهات'!G216+' جهات'!G359,"")</f>
        <v>7362000</v>
      </c>
      <c r="G7" s="11">
        <f>IF(' جهات'!H54+' جهات'!H60+' جهات'!H65+' جهات'!H74+' جهات'!H83+' جهات'!H94+' جهات'!H101+' جهات'!H110+' جهات'!H115+' جهات'!H125+' جهات'!H130+' جهات'!H216+' جهات'!H359&gt;0,' جهات'!H54+' جهات'!H60+' جهات'!H65+' جهات'!H74+' جهات'!H83+' جهات'!H94+' جهات'!H101+' جهات'!H110+' جهات'!H115+' جهات'!H125+' جهات'!H130+' جهات'!H216+' جهات'!H359,"")</f>
        <v>7737000</v>
      </c>
      <c r="H7" s="11">
        <f>IF(' جهات'!I54+' جهات'!I60+' جهات'!I65+' جهات'!I74+' جهات'!I83+' جهات'!I94+' جهات'!I101+' جهات'!I110+' جهات'!I115+' جهات'!I125+' جهات'!I130+' جهات'!I216+' جهات'!I359&gt;0,' جهات'!I54+' جهات'!I60+' جهات'!I65+' جهات'!I74+' جهات'!I83+' جهات'!I94+' جهات'!I101+' جهات'!I110+' جهات'!I115+' جهات'!I125+' جهات'!I130+' جهات'!I216+' جهات'!I359,"")</f>
        <v>7382233.0600000005</v>
      </c>
      <c r="I7" s="11" t="str">
        <f>IF(' جهات'!J54+' جهات'!J60+' جهات'!J65+' جهات'!J74+' جهات'!J83+' جهات'!J94+' جهات'!J101+' جهات'!J110+' جهات'!J115+' جهات'!J125+' جهات'!J130+' جهات'!J216+' جهات'!J359&gt;0,' جهات'!J54+' جهات'!J60+' جهات'!J65+' جهات'!J74+' جهات'!J83+' جهات'!J94+' جهات'!J101+' جهات'!J110+' جهات'!J115+' جهات'!J125+' جهات'!J130+' جهات'!J216+' جهات'!J359,"")</f>
        <v/>
      </c>
      <c r="J7" s="137">
        <f>IF(' جهات'!K54+' جهات'!K60+' جهات'!K65+' جهات'!K74+' جهات'!K83+' جهات'!K94+' جهات'!K101+' جهات'!K110+' جهات'!K115+' جهات'!K125+' جهات'!K130+' جهات'!K216+' جهات'!K359&gt;0,' جهات'!K54+' جهات'!K60+' جهات'!K65+' جهات'!K74+' جهات'!K83+' جهات'!K94+' جهات'!K101+' جهات'!K110+' جهات'!K115+' جهات'!K125+' جهات'!K130+' جهات'!K216+' جهات'!K359,"")</f>
        <v>7953000</v>
      </c>
      <c r="K7" s="112">
        <f t="shared" ref="K7:K14" si="0">IFERROR(J7/F7,"")</f>
        <v>1.0802770986145069</v>
      </c>
    </row>
    <row r="8" spans="2:13" ht="14.25" customHeight="1" x14ac:dyDescent="0.2">
      <c r="B8" s="498"/>
      <c r="C8" s="499"/>
      <c r="D8" s="28">
        <v>20101002</v>
      </c>
      <c r="E8" s="175" t="s">
        <v>18</v>
      </c>
      <c r="F8" s="11">
        <f>IF(' جهات'!G396&gt;0,' جهات'!G396,"")</f>
        <v>1750000</v>
      </c>
      <c r="G8" s="11">
        <f>IF(' جهات'!H396&gt;0,' جهات'!H396,"")</f>
        <v>1650000</v>
      </c>
      <c r="H8" s="11">
        <f>IF(' جهات'!I396&gt;0,' جهات'!I396,"")</f>
        <v>1381191.62</v>
      </c>
      <c r="I8" s="11" t="str">
        <f>IF(' جهات'!J396&gt;0,' جهات'!J396,"")</f>
        <v/>
      </c>
      <c r="J8" s="137">
        <f>IF(' جهات'!K396&gt;0,' جهات'!K396,"")</f>
        <v>1400000</v>
      </c>
      <c r="K8" s="112">
        <f t="shared" si="0"/>
        <v>0.8</v>
      </c>
    </row>
    <row r="9" spans="2:13" ht="14.25" customHeight="1" x14ac:dyDescent="0.2">
      <c r="B9" s="498"/>
      <c r="C9" s="499"/>
      <c r="D9" s="28">
        <v>20101003</v>
      </c>
      <c r="E9" s="175" t="s">
        <v>19</v>
      </c>
      <c r="F9" s="11">
        <f>IF(' جهات'!G397&gt;0,' جهات'!G397,"")</f>
        <v>75000</v>
      </c>
      <c r="G9" s="11">
        <f>IF(' جهات'!H397&gt;0,' جهات'!H397,"")</f>
        <v>110000</v>
      </c>
      <c r="H9" s="11">
        <f>IF(' جهات'!I397&gt;0,' جهات'!I397,"")</f>
        <v>87451.373000000007</v>
      </c>
      <c r="I9" s="11" t="str">
        <f>IF(' جهات'!J397&gt;0,' جهات'!J397,"")</f>
        <v/>
      </c>
      <c r="J9" s="137">
        <f>IF(' جهات'!K397&gt;0,' جهات'!K397,"")</f>
        <v>75000</v>
      </c>
      <c r="K9" s="112">
        <f t="shared" si="0"/>
        <v>1</v>
      </c>
    </row>
    <row r="10" spans="2:13" ht="14.25" customHeight="1" x14ac:dyDescent="0.2">
      <c r="B10" s="498"/>
      <c r="C10" s="499"/>
      <c r="D10" s="28">
        <v>20101005</v>
      </c>
      <c r="E10" s="175" t="s">
        <v>20</v>
      </c>
      <c r="F10" s="11">
        <f>IF(' جهات'!G398&gt;0,' جهات'!G398,"")</f>
        <v>3000</v>
      </c>
      <c r="G10" s="11">
        <f>IF(' جهات'!H398&gt;0,' جهات'!H398,"")</f>
        <v>3000</v>
      </c>
      <c r="H10" s="11">
        <f>IF(' جهات'!I398&gt;0,' جهات'!I398,"")</f>
        <v>3000</v>
      </c>
      <c r="I10" s="11" t="str">
        <f>IF(' جهات'!J398&gt;0,' جهات'!J398,"")</f>
        <v/>
      </c>
      <c r="J10" s="137">
        <f>IF(' جهات'!K398&gt;0,' جهات'!K398,"")</f>
        <v>3000</v>
      </c>
      <c r="K10" s="112">
        <f t="shared" si="0"/>
        <v>1</v>
      </c>
    </row>
    <row r="11" spans="2:13" ht="14.25" customHeight="1" x14ac:dyDescent="0.2">
      <c r="B11" s="498"/>
      <c r="C11" s="499"/>
      <c r="D11" s="28">
        <v>20101007</v>
      </c>
      <c r="E11" s="175" t="s">
        <v>21</v>
      </c>
      <c r="F11" s="11">
        <f>IF(' جهات'!G410&gt;0,' جهات'!G410,"")</f>
        <v>350000</v>
      </c>
      <c r="G11" s="11">
        <f>IF(' جهات'!H410&gt;0,' جهات'!H410,"")</f>
        <v>163000</v>
      </c>
      <c r="H11" s="11">
        <f>IF(' جهات'!I410&gt;0,' جهات'!I410,"")</f>
        <v>92850.403000000006</v>
      </c>
      <c r="I11" s="11" t="str">
        <f>IF(' جهات'!J410&gt;0,' جهات'!J410,"")</f>
        <v/>
      </c>
      <c r="J11" s="137">
        <f>IF(' جهات'!K410&gt;0,' جهات'!K410,"")</f>
        <v>400000</v>
      </c>
      <c r="K11" s="112">
        <f t="shared" si="0"/>
        <v>1.1428571428571428</v>
      </c>
    </row>
    <row r="12" spans="2:13" ht="14.25" customHeight="1" x14ac:dyDescent="0.2">
      <c r="B12" s="498"/>
      <c r="C12" s="499"/>
      <c r="D12" s="28">
        <v>20101008</v>
      </c>
      <c r="E12" s="175" t="s">
        <v>22</v>
      </c>
      <c r="F12" s="11">
        <f>IF(' جهات'!G399&gt;0,' جهات'!G399,"")</f>
        <v>250000</v>
      </c>
      <c r="G12" s="11">
        <f>IF(' جهات'!H399&gt;0,' جهات'!H399,"")</f>
        <v>270000</v>
      </c>
      <c r="H12" s="11">
        <f>IF(' جهات'!I399&gt;0,' جهات'!I399,"")</f>
        <v>261337.2</v>
      </c>
      <c r="I12" s="11" t="str">
        <f>IF(' جهات'!J399&gt;0,' جهات'!J399,"")</f>
        <v/>
      </c>
      <c r="J12" s="137">
        <f>IF(' جهات'!K399&gt;0,' جهات'!K399,"")</f>
        <v>150000</v>
      </c>
      <c r="K12" s="112">
        <f t="shared" si="0"/>
        <v>0.6</v>
      </c>
    </row>
    <row r="13" spans="2:13" s="46" customFormat="1" ht="14.25" customHeight="1" x14ac:dyDescent="0.2">
      <c r="B13" s="498"/>
      <c r="C13" s="499"/>
      <c r="D13" s="28">
        <v>20101009</v>
      </c>
      <c r="E13" s="176" t="s">
        <v>507</v>
      </c>
      <c r="F13" s="11">
        <f>IF(' جهات'!G400&gt;0,' جهات'!G400,"")</f>
        <v>25000</v>
      </c>
      <c r="G13" s="11">
        <f>IF(' جهات'!H400&gt;0,' جهات'!H400,"")</f>
        <v>25000</v>
      </c>
      <c r="H13" s="11">
        <f>IF(' جهات'!I400&gt;0,' جهات'!I400,"")</f>
        <v>22170</v>
      </c>
      <c r="I13" s="11" t="str">
        <f>IF(' جهات'!J400&gt;0,' جهات'!J400,"")</f>
        <v/>
      </c>
      <c r="J13" s="137">
        <f>IF(' جهات'!K400&gt;0,' جهات'!K400,"")</f>
        <v>25000</v>
      </c>
      <c r="K13" s="112">
        <f t="shared" si="0"/>
        <v>1</v>
      </c>
    </row>
    <row r="14" spans="2:13" s="46" customFormat="1" x14ac:dyDescent="0.2">
      <c r="B14" s="498"/>
      <c r="C14" s="497" t="s">
        <v>23</v>
      </c>
      <c r="D14" s="497"/>
      <c r="E14" s="497"/>
      <c r="F14" s="149">
        <f>SUM(F7:F13)</f>
        <v>9815000</v>
      </c>
      <c r="G14" s="149">
        <f t="shared" ref="G14:J14" si="1">SUM(G7:G13)</f>
        <v>9958000</v>
      </c>
      <c r="H14" s="149">
        <f t="shared" si="1"/>
        <v>9230233.6559999995</v>
      </c>
      <c r="I14" s="149">
        <f t="shared" si="1"/>
        <v>0</v>
      </c>
      <c r="J14" s="149">
        <f t="shared" si="1"/>
        <v>10006000</v>
      </c>
      <c r="K14" s="112">
        <f t="shared" si="0"/>
        <v>1.019460010188487</v>
      </c>
      <c r="L14"/>
      <c r="M14"/>
    </row>
    <row r="15" spans="2:13" x14ac:dyDescent="0.2">
      <c r="B15" s="498"/>
      <c r="C15" s="500" t="s">
        <v>109</v>
      </c>
      <c r="D15" s="500"/>
      <c r="E15" s="500"/>
      <c r="F15" s="500"/>
      <c r="G15" s="500"/>
      <c r="H15" s="500"/>
      <c r="I15" s="500"/>
      <c r="J15" s="500"/>
      <c r="K15" s="501"/>
    </row>
    <row r="16" spans="2:13" ht="14.25" customHeight="1" x14ac:dyDescent="0.2">
      <c r="B16" s="498"/>
      <c r="C16" s="499">
        <v>3</v>
      </c>
      <c r="D16" s="28">
        <v>20103001</v>
      </c>
      <c r="E16" s="175" t="s">
        <v>24</v>
      </c>
      <c r="F16" s="11">
        <f>IF(' جهات'!G5+' جهات'!G10+' جهات'!G23+' جهات'!G27+' جهات'!G33+' جهات'!G37+' جهات'!G48+' جهات'!G55+' جهات'!G61+' جهات'!G66+' جهات'!G75+' جهات'!G84+' جهات'!G95+' جهات'!G102+' جهات'!G111+' جهات'!G116+' جهات'!G126+' جهات'!G131+' جهات'!G142+' جهات'!G146+' جهات'!G158+' جهات'!G165+' جهات'!G180+' جهات'!G200+' جهات'!G217+' جهات'!G224+' جهات'!G231+' جهات'!G238+' جهات'!G246+' جهات'!G250+' جهات'!G254+' جهات'!G258+' جهات'!G268+' جهات'!G281+' جهات'!G286+' جهات'!G295+' جهات'!G320+' جهات'!G335+' جهات'!G354+' جهات'!G360+' جهات'!G364+' جهات'!G368+' جهات'!G372+' جهات'!G377+' جهات'!G385+' جهات'!G388+' جهات'!G154&gt;0,' جهات'!G5+' جهات'!G10+' جهات'!G23+' جهات'!G27+' جهات'!G33+' جهات'!G37+' جهات'!G48+' جهات'!G55+' جهات'!G61+' جهات'!G66+' جهات'!G75+' جهات'!G84+' جهات'!G95+' جهات'!G102+' جهات'!G111+' جهات'!G116+' جهات'!G126+' جهات'!G131+' جهات'!G142+' جهات'!G146+' جهات'!G158+' جهات'!G165+' جهات'!G180+' جهات'!G200+' جهات'!G217+' جهات'!G224+' جهات'!G231+' جهات'!G238+' جهات'!G246+' جهات'!G250+' جهات'!G254+' جهات'!G258+' جهات'!G268+' جهات'!G281+' جهات'!G286+' جهات'!G295+' جهات'!G320+' جهات'!G335+' جهات'!G354+' جهات'!G360+' جهات'!G364+' جهات'!G368+' جهات'!G372+' جهات'!G377+' جهات'!G385+' جهات'!G388+' جهات'!G154,"")</f>
        <v>6955500</v>
      </c>
      <c r="G16" s="11">
        <f>IF(' جهات'!H5+' جهات'!H10+' جهات'!H23+' جهات'!H27+' جهات'!H33+' جهات'!H37+' جهات'!H48+' جهات'!H55+' جهات'!H61+' جهات'!H66+' جهات'!H75+' جهات'!H84+' جهات'!H95+' جهات'!H102+' جهات'!H111+' جهات'!H116+' جهات'!H126+' جهات'!H131+' جهات'!H142+' جهات'!H146+' جهات'!H158+' جهات'!H165+' جهات'!H180+' جهات'!H200+' جهات'!H217+' جهات'!H224+' جهات'!H231+' جهات'!H238+' جهات'!H246+' جهات'!H250+' جهات'!H254+' جهات'!H258+' جهات'!H268+' جهات'!H281+' جهات'!H286+' جهات'!H295+' جهات'!H320+' جهات'!H335+' جهات'!H354+' جهات'!H360+' جهات'!H364+' جهات'!H368+' جهات'!H372+' جهات'!H377+' جهات'!H385+' جهات'!H388+' جهات'!H154&gt;0,' جهات'!H5+' جهات'!H10+' جهات'!H23+' جهات'!H27+' جهات'!H33+' جهات'!H37+' جهات'!H48+' جهات'!H55+' جهات'!H61+' جهات'!H66+' جهات'!H75+' جهات'!H84+' جهات'!H95+' جهات'!H102+' جهات'!H111+' جهات'!H116+' جهات'!H126+' جهات'!H131+' جهات'!H142+' جهات'!H146+' جهات'!H158+' جهات'!H165+' جهات'!H180+' جهات'!H200+' جهات'!H217+' جهات'!H224+' جهات'!H231+' جهات'!H238+' جهات'!H246+' جهات'!H250+' جهات'!H254+' جهات'!H258+' جهات'!H268+' جهات'!H281+' جهات'!H286+' جهات'!H295+' جهات'!H320+' جهات'!H335+' جهات'!H354+' جهات'!H360+' جهات'!H364+' جهات'!H368+' جهات'!H372+' جهات'!H377+' جهات'!H385+' جهات'!H388+' جهات'!H154,"")</f>
        <v>6995500</v>
      </c>
      <c r="H16" s="11">
        <f>IF(' جهات'!I5+' جهات'!I10+' جهات'!I23+' جهات'!I27+' جهات'!I33+' جهات'!I37+' جهات'!I48+' جهات'!I55+' جهات'!I61+' جهات'!I66+' جهات'!I75+' جهات'!I84+' جهات'!I95+' جهات'!I102+' جهات'!I111+' جهات'!I116+' جهات'!I126+' جهات'!I131+' جهات'!I142+' جهات'!I146+' جهات'!I158+' جهات'!I165+' جهات'!I180+' جهات'!I200+' جهات'!I217+' جهات'!I224+' جهات'!I231+' جهات'!I238+' جهات'!I246+' جهات'!I250+' جهات'!I254+' جهات'!I258+' جهات'!I268+' جهات'!I281+' جهات'!I286+' جهات'!I295+' جهات'!I320+' جهات'!I335+' جهات'!I354+' جهات'!I360+' جهات'!I364+' جهات'!I368+' جهات'!I372+' جهات'!I377+' جهات'!I385+' جهات'!I388+' جهات'!I154&gt;0,' جهات'!I5+' جهات'!I10+' جهات'!I23+' جهات'!I27+' جهات'!I33+' جهات'!I37+' جهات'!I48+' جهات'!I55+' جهات'!I61+' جهات'!I66+' جهات'!I75+' جهات'!I84+' جهات'!I95+' جهات'!I102+' جهات'!I111+' جهات'!I116+' جهات'!I126+' جهات'!I131+' جهات'!I142+' جهات'!I146+' جهات'!I158+' جهات'!I165+' جهات'!I180+' جهات'!I200+' جهات'!I217+' جهات'!I224+' جهات'!I231+' جهات'!I238+' جهات'!I246+' جهات'!I250+' جهات'!I254+' جهات'!I258+' جهات'!I268+' جهات'!I281+' جهات'!I286+' جهات'!I295+' جهات'!I320+' جهات'!I335+' جهات'!I354+' جهات'!I360+' جهات'!I364+' جهات'!I368+' جهات'!I372+' جهات'!I377+' جهات'!I385+' جهات'!I388+' جهات'!I154,"")</f>
        <v>6828244.3810000001</v>
      </c>
      <c r="I16" s="11" t="str">
        <f>IF(' جهات'!J5+' جهات'!J10+' جهات'!J23+' جهات'!J27+' جهات'!J33+' جهات'!J37+' جهات'!J48+' جهات'!J55+' جهات'!J61+' جهات'!J66+' جهات'!J75+' جهات'!J84+' جهات'!J95+' جهات'!J102+' جهات'!J111+' جهات'!J116+' جهات'!J126+' جهات'!J131+' جهات'!J142+' جهات'!J146+' جهات'!J158+' جهات'!J165+' جهات'!J180+' جهات'!J200+' جهات'!J217+' جهات'!J224+' جهات'!J231+' جهات'!J238+' جهات'!J246+' جهات'!J250+' جهات'!J254+' جهات'!J258+' جهات'!J268+' جهات'!J281+' جهات'!J286+' جهات'!J295+' جهات'!J320+' جهات'!J335+' جهات'!J354+' جهات'!J360+' جهات'!J364+' جهات'!J368+' جهات'!J372+' جهات'!J377+' جهات'!J385+' جهات'!J388+' جهات'!J154&gt;0,' جهات'!J5+' جهات'!J10+' جهات'!J23+' جهات'!J27+' جهات'!J33+' جهات'!J37+' جهات'!J48+' جهات'!J55+' جهات'!J61+' جهات'!J66+' جهات'!J75+' جهات'!J84+' جهات'!J95+' جهات'!J102+' جهات'!J111+' جهات'!J116+' جهات'!J126+' جهات'!J131+' جهات'!J142+' جهات'!J146+' جهات'!J158+' جهات'!J165+' جهات'!J180+' جهات'!J200+' جهات'!J217+' جهات'!J224+' جهات'!J231+' جهات'!J238+' جهات'!J246+' جهات'!J250+' جهات'!J254+' جهات'!J258+' جهات'!J268+' جهات'!J281+' جهات'!J286+' جهات'!J295+' جهات'!J320+' جهات'!J335+' جهات'!J354+' جهات'!J360+' جهات'!J364+' جهات'!J368+' جهات'!J372+' جهات'!J377+' جهات'!J385+' جهات'!J388+' جهات'!J154,"")</f>
        <v/>
      </c>
      <c r="J16" s="137">
        <f>IF(' جهات'!K5+' جهات'!K10+' جهات'!K23+' جهات'!K27+' جهات'!K33+' جهات'!K37+' جهات'!K48+' جهات'!K55+' جهات'!K61+' جهات'!K66+' جهات'!K75+' جهات'!K84+' جهات'!K95+' جهات'!K102+' جهات'!K111+' جهات'!K116+' جهات'!K126+' جهات'!K131+' جهات'!K142+' جهات'!K146+' جهات'!K158+' جهات'!K165+' جهات'!K180+' جهات'!K200+' جهات'!K217+' جهات'!K224+' جهات'!K231+' جهات'!K238+' جهات'!K246+' جهات'!K250+' جهات'!K254+' جهات'!K258+' جهات'!K268+' جهات'!K281+' جهات'!K286+' جهات'!K295+' جهات'!K320+' جهات'!K335+' جهات'!K354+' جهات'!K360+' جهات'!K364+' جهات'!K368+' جهات'!K372+' جهات'!K377+' جهات'!K385+' جهات'!K388+' جهات'!K154&gt;0,' جهات'!K5+' جهات'!K10+' جهات'!K23+' جهات'!K27+' جهات'!K33+' جهات'!K37+' جهات'!K48+' جهات'!K55+' جهات'!K61+' جهات'!K66+' جهات'!K75+' جهات'!K84+' جهات'!K95+' جهات'!K102+' جهات'!K111+' جهات'!K116+' جهات'!K126+' جهات'!K131+' جهات'!K142+' جهات'!K146+' جهات'!K158+' جهات'!K165+' جهات'!K180+' جهات'!K200+' جهات'!K217+' جهات'!K224+' جهات'!K231+' جهات'!K238+' جهات'!K246+' جهات'!K250+' جهات'!K254+' جهات'!K258+' جهات'!K268+' جهات'!K281+' جهات'!K286+' جهات'!K295+' جهات'!K320+' جهات'!K335+' جهات'!K354+' جهات'!K360+' جهات'!K364+' جهات'!K368+' جهات'!K372+' جهات'!K377+' جهات'!K385+' جهات'!K388+' جهات'!K154,"")</f>
        <v>7139000</v>
      </c>
      <c r="K16" s="112">
        <f>IFERROR(J16/F16,"")</f>
        <v>1.0263819998562289</v>
      </c>
    </row>
    <row r="17" spans="2:11" ht="14.25" customHeight="1" x14ac:dyDescent="0.2">
      <c r="B17" s="498"/>
      <c r="C17" s="499"/>
      <c r="D17" s="28">
        <v>20103002</v>
      </c>
      <c r="E17" s="175" t="s">
        <v>25</v>
      </c>
      <c r="F17" s="11">
        <f>IF(' جهات'!G401&gt;0,' جهات'!G401,"")</f>
        <v>70000</v>
      </c>
      <c r="G17" s="11">
        <f>IF(' جهات'!H401&gt;0,' جهات'!H401,"")</f>
        <v>60000</v>
      </c>
      <c r="H17" s="11">
        <f>IF(' جهات'!I401&gt;0,' جهات'!I401,"")</f>
        <v>23908.9</v>
      </c>
      <c r="I17" s="11" t="str">
        <f>IF(' جهات'!J401&gt;0,' جهات'!J401,"")</f>
        <v/>
      </c>
      <c r="J17" s="137">
        <f>IF(' جهات'!K401&gt;0,' جهات'!K401,"")</f>
        <v>60000</v>
      </c>
      <c r="K17" s="112">
        <f>IFERROR(J17/F17,"")</f>
        <v>0.8571428571428571</v>
      </c>
    </row>
    <row r="18" spans="2:11" ht="14.25" customHeight="1" x14ac:dyDescent="0.2">
      <c r="B18" s="498"/>
      <c r="C18" s="499"/>
      <c r="D18" s="28">
        <v>20103003</v>
      </c>
      <c r="E18" s="175" t="s">
        <v>26</v>
      </c>
      <c r="F18" s="11">
        <f>IF(' جهات'!G402&gt;0,' جهات'!G402,"")</f>
        <v>25000</v>
      </c>
      <c r="G18" s="11">
        <f>IF(' جهات'!H402&gt;0,' جهات'!H402,"")</f>
        <v>50000</v>
      </c>
      <c r="H18" s="11">
        <f>IF(' جهات'!I402&gt;0,' جهات'!I402,"")</f>
        <v>48043.571000000004</v>
      </c>
      <c r="I18" s="11" t="str">
        <f>IF(' جهات'!J402&gt;0,' جهات'!J402,"")</f>
        <v/>
      </c>
      <c r="J18" s="137">
        <f>IF(' جهات'!K402&gt;0,' جهات'!K402,"")</f>
        <v>70000</v>
      </c>
      <c r="K18" s="112">
        <f>IFERROR(J18/F18,"")</f>
        <v>2.8</v>
      </c>
    </row>
    <row r="19" spans="2:11" ht="14.25" customHeight="1" x14ac:dyDescent="0.2">
      <c r="B19" s="498"/>
      <c r="C19" s="499"/>
      <c r="D19" s="28">
        <v>20103006</v>
      </c>
      <c r="E19" s="175" t="s">
        <v>27</v>
      </c>
      <c r="F19" s="11">
        <f>IF(' جهات'!G411&gt;0,' جهات'!G411,"")</f>
        <v>50000</v>
      </c>
      <c r="G19" s="11">
        <f>IF(' جهات'!H411&gt;0,' جهات'!H411,"")</f>
        <v>19000</v>
      </c>
      <c r="H19" s="11" t="str">
        <f>IF(' جهات'!I411&gt;0,' جهات'!I411,"")</f>
        <v/>
      </c>
      <c r="I19" s="11" t="str">
        <f>IF(' جهات'!J411&gt;0,' جهات'!J411,"")</f>
        <v/>
      </c>
      <c r="J19" s="137">
        <f>IF(' جهات'!K411&gt;0,' جهات'!K411,"")</f>
        <v>42606</v>
      </c>
      <c r="K19" s="112">
        <f>IFERROR(J19/F19,"")</f>
        <v>0.85211999999999999</v>
      </c>
    </row>
    <row r="20" spans="2:11" x14ac:dyDescent="0.2">
      <c r="B20" s="498"/>
      <c r="C20" s="497" t="s">
        <v>23</v>
      </c>
      <c r="D20" s="497"/>
      <c r="E20" s="497"/>
      <c r="F20" s="149">
        <f>SUM(F16:F19)</f>
        <v>7100500</v>
      </c>
      <c r="G20" s="149">
        <f t="shared" ref="G20:J20" si="2">SUM(G16:G19)</f>
        <v>7124500</v>
      </c>
      <c r="H20" s="149">
        <f>SUM(H16:H19)</f>
        <v>6900196.8520000009</v>
      </c>
      <c r="I20" s="149">
        <f t="shared" si="2"/>
        <v>0</v>
      </c>
      <c r="J20" s="149">
        <f t="shared" si="2"/>
        <v>7311606</v>
      </c>
      <c r="K20" s="112">
        <f>IFERROR(J20/F20,"")</f>
        <v>1.0297311456939653</v>
      </c>
    </row>
    <row r="21" spans="2:11" x14ac:dyDescent="0.2">
      <c r="B21" s="498"/>
      <c r="C21" s="500" t="s">
        <v>275</v>
      </c>
      <c r="D21" s="500"/>
      <c r="E21" s="500"/>
      <c r="F21" s="500"/>
      <c r="G21" s="500"/>
      <c r="H21" s="500"/>
      <c r="I21" s="500"/>
      <c r="J21" s="500"/>
      <c r="K21" s="501"/>
    </row>
    <row r="22" spans="2:11" ht="14.25" customHeight="1" x14ac:dyDescent="0.2">
      <c r="B22" s="498"/>
      <c r="C22" s="499">
        <v>16</v>
      </c>
      <c r="D22" s="29">
        <v>20116002</v>
      </c>
      <c r="E22" s="177" t="s">
        <v>28</v>
      </c>
      <c r="F22" s="11">
        <f>IF(' جهات'!G412&gt;0,' جهات'!G412,"")</f>
        <v>2415885</v>
      </c>
      <c r="G22" s="11">
        <f>IF(' جهات'!H412&gt;0,' جهات'!H412,"")</f>
        <v>2415885</v>
      </c>
      <c r="H22" s="11">
        <f>IF(' جهات'!I412&gt;0,' جهات'!I412,"")</f>
        <v>2415885</v>
      </c>
      <c r="I22" s="11" t="str">
        <f>IF(' جهات'!J412&gt;0,' جهات'!J412,"")</f>
        <v/>
      </c>
      <c r="J22" s="137">
        <f>IF(' جهات'!K412&gt;0,' جهات'!K412,"")</f>
        <v>2406265</v>
      </c>
      <c r="K22" s="112">
        <f>IFERROR(J22/F22,"")</f>
        <v>0.99601802238103221</v>
      </c>
    </row>
    <row r="23" spans="2:11" ht="14.25" customHeight="1" x14ac:dyDescent="0.2">
      <c r="B23" s="498"/>
      <c r="C23" s="499"/>
      <c r="D23" s="29">
        <v>20116003</v>
      </c>
      <c r="E23" s="177" t="s">
        <v>29</v>
      </c>
      <c r="F23" s="11">
        <f>IF(' جهات'!G413&gt;0,' جهات'!G413,"")</f>
        <v>1628059</v>
      </c>
      <c r="G23" s="11">
        <f>IF(' جهات'!H413&gt;0,' جهات'!H413,"")</f>
        <v>1628059</v>
      </c>
      <c r="H23" s="11">
        <f>IF(' جهات'!I413&gt;0,' جهات'!I413,"")</f>
        <v>1628059</v>
      </c>
      <c r="I23" s="11" t="str">
        <f>IF(' جهات'!J413&gt;0,' جهات'!J413,"")</f>
        <v/>
      </c>
      <c r="J23" s="137">
        <f>IF(' جهات'!K413&gt;0,' جهات'!K413,"")</f>
        <v>1557474</v>
      </c>
      <c r="K23" s="112">
        <f>IFERROR(J23/F23,"")</f>
        <v>0.95664469162358368</v>
      </c>
    </row>
    <row r="24" spans="2:11" ht="14.25" customHeight="1" x14ac:dyDescent="0.2">
      <c r="B24" s="498"/>
      <c r="C24" s="499"/>
      <c r="D24" s="29">
        <v>20116005</v>
      </c>
      <c r="E24" s="177" t="s">
        <v>30</v>
      </c>
      <c r="F24" s="11">
        <f>IF(' جهات'!G414&gt;0,' جهات'!G414,"")</f>
        <v>285849</v>
      </c>
      <c r="G24" s="11">
        <f>IF(' جهات'!H414&gt;0,' جهات'!H414,"")</f>
        <v>285849</v>
      </c>
      <c r="H24" s="11">
        <f>IF(' جهات'!I414&gt;0,' جهات'!I414,"")</f>
        <v>285849</v>
      </c>
      <c r="I24" s="11" t="str">
        <f>IF(' جهات'!J414&gt;0,' جهات'!J414,"")</f>
        <v/>
      </c>
      <c r="J24" s="137">
        <f>IF(' جهات'!K414&gt;0,' جهات'!K414,"")</f>
        <v>135358</v>
      </c>
      <c r="K24" s="112">
        <f>IFERROR(J24/F24,"")</f>
        <v>0.47352973073195986</v>
      </c>
    </row>
    <row r="25" spans="2:11" ht="14.25" customHeight="1" x14ac:dyDescent="0.2">
      <c r="B25" s="498"/>
      <c r="C25" s="499"/>
      <c r="D25" s="29">
        <v>20116006</v>
      </c>
      <c r="E25" s="177" t="s">
        <v>31</v>
      </c>
      <c r="F25" s="11">
        <f>IF(' جهات'!G415&gt;0,' جهات'!G415,"")</f>
        <v>57170</v>
      </c>
      <c r="G25" s="11">
        <f>IF(' جهات'!H415&gt;0,' جهات'!H415,"")</f>
        <v>57170</v>
      </c>
      <c r="H25" s="11">
        <f>IF(' جهات'!I415&gt;0,' جهات'!I415,"")</f>
        <v>57170</v>
      </c>
      <c r="I25" s="11" t="str">
        <f>IF(' جهات'!J415&gt;0,' جهات'!J415,"")</f>
        <v/>
      </c>
      <c r="J25" s="137">
        <f>IF(' جهات'!K415&gt;0,' جهات'!K415,"")</f>
        <v>27072</v>
      </c>
      <c r="K25" s="112">
        <f>IFERROR(J25/F25,"")</f>
        <v>0.47353507084135038</v>
      </c>
    </row>
    <row r="26" spans="2:11" x14ac:dyDescent="0.2">
      <c r="B26" s="498"/>
      <c r="C26" s="497" t="s">
        <v>23</v>
      </c>
      <c r="D26" s="497"/>
      <c r="E26" s="497"/>
      <c r="F26" s="149">
        <f>SUM(F22:F25)</f>
        <v>4386963</v>
      </c>
      <c r="G26" s="149">
        <f t="shared" ref="G26:J26" si="3">SUM(G22:G25)</f>
        <v>4386963</v>
      </c>
      <c r="H26" s="149">
        <f>SUM(H22:H25)</f>
        <v>4386963</v>
      </c>
      <c r="I26" s="149">
        <f t="shared" si="3"/>
        <v>0</v>
      </c>
      <c r="J26" s="149">
        <f t="shared" si="3"/>
        <v>4126169</v>
      </c>
      <c r="K26" s="112">
        <f>IFERROR(J26/F26,"")</f>
        <v>0.94055249611177483</v>
      </c>
    </row>
    <row r="27" spans="2:11" x14ac:dyDescent="0.2">
      <c r="B27" s="498"/>
      <c r="C27" s="500" t="s">
        <v>429</v>
      </c>
      <c r="D27" s="500"/>
      <c r="E27" s="500"/>
      <c r="F27" s="500"/>
      <c r="G27" s="500"/>
      <c r="H27" s="500"/>
      <c r="I27" s="500"/>
      <c r="J27" s="500"/>
      <c r="K27" s="501"/>
    </row>
    <row r="28" spans="2:11" ht="14.25" customHeight="1" x14ac:dyDescent="0.2">
      <c r="B28" s="498"/>
      <c r="C28" s="499">
        <v>17</v>
      </c>
      <c r="D28" s="28">
        <v>20117001</v>
      </c>
      <c r="E28" s="175" t="s">
        <v>32</v>
      </c>
      <c r="F28" s="11">
        <f>IF(' جهات'!G378&gt;0,' جهات'!G378,"")</f>
        <v>400000</v>
      </c>
      <c r="G28" s="11">
        <f>IF(' جهات'!H378&gt;0,' جهات'!H378,"")</f>
        <v>531000</v>
      </c>
      <c r="H28" s="11">
        <f>IF(' جهات'!I378&gt;0,' جهات'!I378,"")</f>
        <v>506682.67300000001</v>
      </c>
      <c r="I28" s="11">
        <f>IF(' جهات'!J378&gt;0,' جهات'!J378,"")</f>
        <v>19608.555</v>
      </c>
      <c r="J28" s="137">
        <f>IF(' جهات'!K378&gt;0,' جهات'!K378,"")</f>
        <v>500000</v>
      </c>
      <c r="K28" s="112">
        <f>IFERROR(J28/F28,"")</f>
        <v>1.25</v>
      </c>
    </row>
    <row r="29" spans="2:11" ht="14.25" customHeight="1" x14ac:dyDescent="0.2">
      <c r="B29" s="498"/>
      <c r="C29" s="499"/>
      <c r="D29" s="28">
        <v>20117002</v>
      </c>
      <c r="E29" s="175" t="s">
        <v>33</v>
      </c>
      <c r="F29" s="11">
        <f>IF(' جهات'!G403&gt;0,' جهات'!G403,"")</f>
        <v>10000</v>
      </c>
      <c r="G29" s="11">
        <f>IF(' جهات'!H403&gt;0,' جهات'!H403,"")</f>
        <v>10000</v>
      </c>
      <c r="H29" s="11">
        <f>IF(' جهات'!I403&gt;0,' جهات'!I403,"")</f>
        <v>10000</v>
      </c>
      <c r="I29" s="11" t="str">
        <f>IF(' جهات'!J403&gt;0,' جهات'!J403,"")</f>
        <v/>
      </c>
      <c r="J29" s="137">
        <f>IF(' جهات'!K403&gt;0,' جهات'!K403,"")</f>
        <v>10000</v>
      </c>
      <c r="K29" s="112">
        <f>IFERROR(J29/F29,"")</f>
        <v>1</v>
      </c>
    </row>
    <row r="30" spans="2:11" ht="14.25" customHeight="1" x14ac:dyDescent="0.2">
      <c r="B30" s="498"/>
      <c r="C30" s="499"/>
      <c r="D30" s="28">
        <v>20117003</v>
      </c>
      <c r="E30" s="175" t="s">
        <v>34</v>
      </c>
      <c r="F30" s="11">
        <f>IF(' جهات'!G269+' جهات'!G296+' جهات'!G321+' جهات'!G336&gt;0,' جهات'!G269+' جهات'!G296+' جهات'!G321+' جهات'!G336,"")</f>
        <v>200000</v>
      </c>
      <c r="G30" s="11">
        <f>IF(' جهات'!H269+' جهات'!H296+' جهات'!H321+' جهات'!H336&gt;0,' جهات'!H269+' جهات'!H296+' جهات'!H321+' جهات'!H336,"")</f>
        <v>200000</v>
      </c>
      <c r="H30" s="11">
        <f>IF(' جهات'!I269+' جهات'!I296+' جهات'!I321+' جهات'!I336&gt;0,' جهات'!I269+' جهات'!I296+' جهات'!I321+' جهات'!I336,"")</f>
        <v>151593.25</v>
      </c>
      <c r="I30" s="11">
        <f>IF(' جهات'!J269+' جهات'!J296+' جهات'!J321+' جهات'!J336&gt;0,' جهات'!J269+' جهات'!J296+' جهات'!J321+' جهات'!J336,"")</f>
        <v>7867.83</v>
      </c>
      <c r="J30" s="137">
        <f>IF(' جهات'!K269+' جهات'!K296+' جهات'!K321+' جهات'!K336&gt;0,' جهات'!K269+' جهات'!K296+' جهات'!K321+' جهات'!K336,"")</f>
        <v>160000</v>
      </c>
      <c r="K30" s="112">
        <f>IFERROR(J30/F30,"")</f>
        <v>0.8</v>
      </c>
    </row>
    <row r="31" spans="2:11" x14ac:dyDescent="0.2">
      <c r="B31" s="498"/>
      <c r="C31" s="497" t="s">
        <v>23</v>
      </c>
      <c r="D31" s="497"/>
      <c r="E31" s="497"/>
      <c r="F31" s="149">
        <f>SUM(F28:F30)</f>
        <v>610000</v>
      </c>
      <c r="G31" s="149">
        <f t="shared" ref="G31:J31" si="4">SUM(G28:G30)</f>
        <v>741000</v>
      </c>
      <c r="H31" s="149">
        <f>SUM(H28:H30)</f>
        <v>668275.92299999995</v>
      </c>
      <c r="I31" s="149">
        <f t="shared" si="4"/>
        <v>27476.385000000002</v>
      </c>
      <c r="J31" s="149">
        <f t="shared" si="4"/>
        <v>670000</v>
      </c>
      <c r="K31" s="112">
        <f>IFERROR(J31/F31,"")</f>
        <v>1.098360655737705</v>
      </c>
    </row>
    <row r="32" spans="2:11" x14ac:dyDescent="0.2">
      <c r="B32" s="432" t="s">
        <v>110</v>
      </c>
      <c r="C32" s="433"/>
      <c r="D32" s="433"/>
      <c r="E32" s="433"/>
      <c r="F32" s="150">
        <f t="shared" ref="F32:J32" si="5">F14+F20+F26+F31</f>
        <v>21912463</v>
      </c>
      <c r="G32" s="150">
        <f t="shared" si="5"/>
        <v>22210463</v>
      </c>
      <c r="H32" s="150">
        <f t="shared" si="5"/>
        <v>21185669.431000002</v>
      </c>
      <c r="I32" s="150">
        <f t="shared" si="5"/>
        <v>27476.385000000002</v>
      </c>
      <c r="J32" s="150">
        <f t="shared" si="5"/>
        <v>22113775</v>
      </c>
      <c r="K32" s="112">
        <f>IFERROR(J32/F32,"")</f>
        <v>1.0091871005098787</v>
      </c>
    </row>
    <row r="33" spans="2:11" x14ac:dyDescent="0.2">
      <c r="B33" s="468" t="s">
        <v>256</v>
      </c>
      <c r="C33" s="469"/>
      <c r="D33" s="469"/>
      <c r="E33" s="469"/>
      <c r="F33" s="469"/>
      <c r="G33" s="469"/>
      <c r="H33" s="469"/>
      <c r="I33" s="469"/>
      <c r="J33" s="469"/>
      <c r="K33" s="470"/>
    </row>
    <row r="34" spans="2:11" x14ac:dyDescent="0.2">
      <c r="B34" s="498">
        <v>11</v>
      </c>
      <c r="C34" s="500" t="s">
        <v>35</v>
      </c>
      <c r="D34" s="500"/>
      <c r="E34" s="500"/>
      <c r="F34" s="500"/>
      <c r="G34" s="500"/>
      <c r="H34" s="500"/>
      <c r="I34" s="500"/>
      <c r="J34" s="500"/>
      <c r="K34" s="501"/>
    </row>
    <row r="35" spans="2:11" ht="14.25" customHeight="1" x14ac:dyDescent="0.2">
      <c r="B35" s="498"/>
      <c r="C35" s="299">
        <v>1</v>
      </c>
      <c r="D35" s="28">
        <v>21101001</v>
      </c>
      <c r="E35" s="175" t="s">
        <v>35</v>
      </c>
      <c r="F35" s="11">
        <f>IF(' جهات'!G418&gt;0,' جهات'!G418,"")</f>
        <v>300000</v>
      </c>
      <c r="G35" s="11">
        <f>IF(' جهات'!H418&gt;0,' جهات'!H418,"")</f>
        <v>307000</v>
      </c>
      <c r="H35" s="11">
        <f>IF(' جهات'!I418&gt;0,' جهات'!I418,"")</f>
        <v>306687.57</v>
      </c>
      <c r="I35" s="11" t="str">
        <f>IF(' جهات'!J418&gt;0,' جهات'!J418,"")</f>
        <v/>
      </c>
      <c r="J35" s="137">
        <f>IF(' جهات'!K418&gt;0,' جهات'!K418,"")</f>
        <v>320000</v>
      </c>
      <c r="K35" s="112">
        <f>IFERROR(J35/F35,"")</f>
        <v>1.0666666666666667</v>
      </c>
    </row>
    <row r="36" spans="2:11" x14ac:dyDescent="0.2">
      <c r="B36" s="498"/>
      <c r="C36" s="497" t="s">
        <v>23</v>
      </c>
      <c r="D36" s="497"/>
      <c r="E36" s="497"/>
      <c r="F36" s="149">
        <f>SUM(F35)</f>
        <v>300000</v>
      </c>
      <c r="G36" s="149">
        <f t="shared" ref="G36:J36" si="6">SUM(G35)</f>
        <v>307000</v>
      </c>
      <c r="H36" s="149">
        <f>SUM(H35)</f>
        <v>306687.57</v>
      </c>
      <c r="I36" s="149">
        <f t="shared" si="6"/>
        <v>0</v>
      </c>
      <c r="J36" s="149">
        <f t="shared" si="6"/>
        <v>320000</v>
      </c>
      <c r="K36" s="112">
        <f>IFERROR(J36/F36,"")</f>
        <v>1.0666666666666667</v>
      </c>
    </row>
    <row r="37" spans="2:11" x14ac:dyDescent="0.2">
      <c r="B37" s="498"/>
      <c r="C37" s="500" t="s">
        <v>36</v>
      </c>
      <c r="D37" s="500"/>
      <c r="E37" s="500"/>
      <c r="F37" s="500"/>
      <c r="G37" s="500"/>
      <c r="H37" s="500"/>
      <c r="I37" s="500"/>
      <c r="J37" s="500"/>
      <c r="K37" s="501"/>
    </row>
    <row r="38" spans="2:11" ht="14.25" customHeight="1" x14ac:dyDescent="0.2">
      <c r="B38" s="498"/>
      <c r="C38" s="299">
        <v>2</v>
      </c>
      <c r="D38" s="28">
        <v>21102001</v>
      </c>
      <c r="E38" s="175" t="s">
        <v>36</v>
      </c>
      <c r="F38" s="11">
        <f>IF(' جهات'!G419&gt;0,' جهات'!G419,"")</f>
        <v>1800000</v>
      </c>
      <c r="G38" s="11">
        <f>IF(' جهات'!H419&gt;0,' جهات'!H419,"")</f>
        <v>1810000</v>
      </c>
      <c r="H38" s="11">
        <f>IF(' جهات'!I419&gt;0,' جهات'!I419,"")</f>
        <v>1809832.409</v>
      </c>
      <c r="I38" s="11" t="str">
        <f>IF(' جهات'!J419&gt;0,' جهات'!J419,"")</f>
        <v/>
      </c>
      <c r="J38" s="137">
        <f>IF(' جهات'!K419&gt;0,' جهات'!K419,"")</f>
        <v>1900000</v>
      </c>
      <c r="K38" s="112">
        <f>IFERROR(J38/F38,"")</f>
        <v>1.0555555555555556</v>
      </c>
    </row>
    <row r="39" spans="2:11" x14ac:dyDescent="0.2">
      <c r="B39" s="498"/>
      <c r="C39" s="497" t="s">
        <v>23</v>
      </c>
      <c r="D39" s="497"/>
      <c r="E39" s="497"/>
      <c r="F39" s="149">
        <f>SUM(F38)</f>
        <v>1800000</v>
      </c>
      <c r="G39" s="149">
        <f t="shared" ref="G39:J39" si="7">SUM(G38)</f>
        <v>1810000</v>
      </c>
      <c r="H39" s="149">
        <f t="shared" si="7"/>
        <v>1809832.409</v>
      </c>
      <c r="I39" s="149">
        <f t="shared" si="7"/>
        <v>0</v>
      </c>
      <c r="J39" s="149">
        <f t="shared" si="7"/>
        <v>1900000</v>
      </c>
      <c r="K39" s="112">
        <f>IFERROR(J39/F39,"")</f>
        <v>1.0555555555555556</v>
      </c>
    </row>
    <row r="40" spans="2:11" x14ac:dyDescent="0.2">
      <c r="B40" s="498"/>
      <c r="C40" s="500" t="s">
        <v>37</v>
      </c>
      <c r="D40" s="500"/>
      <c r="E40" s="500"/>
      <c r="F40" s="500"/>
      <c r="G40" s="500"/>
      <c r="H40" s="500"/>
      <c r="I40" s="500"/>
      <c r="J40" s="500"/>
      <c r="K40" s="501"/>
    </row>
    <row r="41" spans="2:11" ht="14.25" customHeight="1" x14ac:dyDescent="0.2">
      <c r="B41" s="498"/>
      <c r="C41" s="299">
        <v>3</v>
      </c>
      <c r="D41" s="28">
        <v>21103001</v>
      </c>
      <c r="E41" s="175" t="s">
        <v>37</v>
      </c>
      <c r="F41" s="11">
        <f>IF(' جهات'!G420&gt;0,' جهات'!G420,"")</f>
        <v>900000</v>
      </c>
      <c r="G41" s="11">
        <f>IF(' جهات'!H420&gt;0,' جهات'!H420,"")</f>
        <v>1250000</v>
      </c>
      <c r="H41" s="11">
        <f>IF(' جهات'!I420&gt;0,' جهات'!I420,"")</f>
        <v>1237449.4110000001</v>
      </c>
      <c r="I41" s="11" t="str">
        <f>IF(' جهات'!J420&gt;0,' جهات'!J420,"")</f>
        <v/>
      </c>
      <c r="J41" s="137">
        <f>IF(' جهات'!K420&gt;0,' جهات'!K420,"")</f>
        <v>1200000</v>
      </c>
      <c r="K41" s="112">
        <f>IFERROR(J41/F41,"")</f>
        <v>1.3333333333333333</v>
      </c>
    </row>
    <row r="42" spans="2:11" x14ac:dyDescent="0.2">
      <c r="B42" s="498"/>
      <c r="C42" s="497" t="s">
        <v>23</v>
      </c>
      <c r="D42" s="497"/>
      <c r="E42" s="497"/>
      <c r="F42" s="149">
        <f>SUM(F41)</f>
        <v>900000</v>
      </c>
      <c r="G42" s="149">
        <f t="shared" ref="G42:J42" si="8">SUM(G41)</f>
        <v>1250000</v>
      </c>
      <c r="H42" s="149">
        <f t="shared" si="8"/>
        <v>1237449.4110000001</v>
      </c>
      <c r="I42" s="149">
        <f t="shared" si="8"/>
        <v>0</v>
      </c>
      <c r="J42" s="149">
        <f t="shared" si="8"/>
        <v>1200000</v>
      </c>
      <c r="K42" s="112">
        <f>IFERROR(J42/F42,"")</f>
        <v>1.3333333333333333</v>
      </c>
    </row>
    <row r="43" spans="2:11" x14ac:dyDescent="0.2">
      <c r="B43" s="498"/>
      <c r="C43" s="500" t="s">
        <v>38</v>
      </c>
      <c r="D43" s="500"/>
      <c r="E43" s="500"/>
      <c r="F43" s="500"/>
      <c r="G43" s="500"/>
      <c r="H43" s="500"/>
      <c r="I43" s="500"/>
      <c r="J43" s="500"/>
      <c r="K43" s="501"/>
    </row>
    <row r="44" spans="2:11" ht="14.25" customHeight="1" x14ac:dyDescent="0.2">
      <c r="B44" s="498"/>
      <c r="C44" s="299">
        <v>4</v>
      </c>
      <c r="D44" s="28">
        <v>21104001</v>
      </c>
      <c r="E44" s="175" t="s">
        <v>38</v>
      </c>
      <c r="F44" s="11">
        <f>IF(' جهات'!G421&gt;0,' جهات'!G421,"")</f>
        <v>30000</v>
      </c>
      <c r="G44" s="11">
        <f>IF(' جهات'!H421&gt;0,' جهات'!H421,"")</f>
        <v>30000</v>
      </c>
      <c r="H44" s="11" t="str">
        <f>IF(' جهات'!I421&gt;0,' جهات'!I421,"")</f>
        <v/>
      </c>
      <c r="I44" s="11">
        <f>IF(' جهات'!J421&gt;0,' جهات'!J421,"")</f>
        <v>30000</v>
      </c>
      <c r="J44" s="137">
        <f>IF(' جهات'!K421&gt;0,' جهات'!K421,"")</f>
        <v>30000</v>
      </c>
      <c r="K44" s="112">
        <f>IFERROR(J44/F44,"")</f>
        <v>1</v>
      </c>
    </row>
    <row r="45" spans="2:11" x14ac:dyDescent="0.2">
      <c r="B45" s="498"/>
      <c r="C45" s="497" t="s">
        <v>23</v>
      </c>
      <c r="D45" s="497"/>
      <c r="E45" s="497"/>
      <c r="F45" s="149">
        <f>SUM(F44)</f>
        <v>30000</v>
      </c>
      <c r="G45" s="149">
        <f t="shared" ref="G45:J45" si="9">SUM(G44)</f>
        <v>30000</v>
      </c>
      <c r="H45" s="149">
        <f t="shared" si="9"/>
        <v>0</v>
      </c>
      <c r="I45" s="149">
        <f t="shared" si="9"/>
        <v>30000</v>
      </c>
      <c r="J45" s="149">
        <f t="shared" si="9"/>
        <v>30000</v>
      </c>
      <c r="K45" s="112">
        <f>IFERROR(J45/F45,"")</f>
        <v>1</v>
      </c>
    </row>
    <row r="46" spans="2:11" x14ac:dyDescent="0.2">
      <c r="B46" s="498"/>
      <c r="C46" s="500" t="s">
        <v>39</v>
      </c>
      <c r="D46" s="500"/>
      <c r="E46" s="500"/>
      <c r="F46" s="500"/>
      <c r="G46" s="500"/>
      <c r="H46" s="500"/>
      <c r="I46" s="500"/>
      <c r="J46" s="500"/>
      <c r="K46" s="501"/>
    </row>
    <row r="47" spans="2:11" ht="14.25" customHeight="1" x14ac:dyDescent="0.2">
      <c r="B47" s="498"/>
      <c r="C47" s="299">
        <v>5</v>
      </c>
      <c r="D47" s="28">
        <v>21105001</v>
      </c>
      <c r="E47" s="175" t="s">
        <v>39</v>
      </c>
      <c r="F47" s="11">
        <f>IF(' جهات'!G422&gt;0,' جهات'!G422,"")</f>
        <v>1500000</v>
      </c>
      <c r="G47" s="11">
        <f>IF(' جهات'!H422&gt;0,' جهات'!H422,"")</f>
        <v>1522000</v>
      </c>
      <c r="H47" s="11">
        <f>IF(' جهات'!I422&gt;0,' جهات'!I422,"")</f>
        <v>1521497.9469999999</v>
      </c>
      <c r="I47" s="11" t="str">
        <f>IF(' جهات'!J422&gt;0,' جهات'!J422,"")</f>
        <v/>
      </c>
      <c r="J47" s="137">
        <f>IF(' جهات'!K422&gt;0,' جهات'!K422,"")</f>
        <v>1000000</v>
      </c>
      <c r="K47" s="112">
        <f>IFERROR(J47/F47,"")</f>
        <v>0.66666666666666663</v>
      </c>
    </row>
    <row r="48" spans="2:11" x14ac:dyDescent="0.2">
      <c r="B48" s="498"/>
      <c r="C48" s="497" t="s">
        <v>23</v>
      </c>
      <c r="D48" s="497"/>
      <c r="E48" s="497"/>
      <c r="F48" s="149">
        <f>SUM(F47)</f>
        <v>1500000</v>
      </c>
      <c r="G48" s="149">
        <f t="shared" ref="G48:J48" si="10">SUM(G47)</f>
        <v>1522000</v>
      </c>
      <c r="H48" s="149">
        <f>SUM(H47)</f>
        <v>1521497.9469999999</v>
      </c>
      <c r="I48" s="149">
        <f t="shared" si="10"/>
        <v>0</v>
      </c>
      <c r="J48" s="149">
        <f t="shared" si="10"/>
        <v>1000000</v>
      </c>
      <c r="K48" s="112">
        <f>IFERROR(J48/F48,"")</f>
        <v>0.66666666666666663</v>
      </c>
    </row>
    <row r="49" spans="2:11" x14ac:dyDescent="0.2">
      <c r="B49" s="432" t="s">
        <v>111</v>
      </c>
      <c r="C49" s="433"/>
      <c r="D49" s="433"/>
      <c r="E49" s="433"/>
      <c r="F49" s="150">
        <f>F36+F39+F42+F45+F48</f>
        <v>4530000</v>
      </c>
      <c r="G49" s="150">
        <f t="shared" ref="G49:J49" si="11">G36+G39+G42+G45+G48</f>
        <v>4919000</v>
      </c>
      <c r="H49" s="150">
        <f t="shared" si="11"/>
        <v>4875467.3369999994</v>
      </c>
      <c r="I49" s="150">
        <f t="shared" si="11"/>
        <v>30000</v>
      </c>
      <c r="J49" s="150">
        <f t="shared" si="11"/>
        <v>4450000</v>
      </c>
      <c r="K49" s="112">
        <f>IFERROR(J49/F49,"")</f>
        <v>0.98233995584988965</v>
      </c>
    </row>
    <row r="50" spans="2:11" x14ac:dyDescent="0.2">
      <c r="B50" s="468" t="s">
        <v>257</v>
      </c>
      <c r="C50" s="469"/>
      <c r="D50" s="469"/>
      <c r="E50" s="469"/>
      <c r="F50" s="469"/>
      <c r="G50" s="469"/>
      <c r="H50" s="469"/>
      <c r="I50" s="469"/>
      <c r="J50" s="469"/>
      <c r="K50" s="470"/>
    </row>
    <row r="51" spans="2:11" x14ac:dyDescent="0.2">
      <c r="B51" s="498"/>
      <c r="C51" s="500" t="s">
        <v>276</v>
      </c>
      <c r="D51" s="500"/>
      <c r="E51" s="500"/>
      <c r="F51" s="500"/>
      <c r="G51" s="500"/>
      <c r="H51" s="500"/>
      <c r="I51" s="500"/>
      <c r="J51" s="500"/>
      <c r="K51" s="501"/>
    </row>
    <row r="52" spans="2:11" ht="14.25" customHeight="1" x14ac:dyDescent="0.2">
      <c r="B52" s="498"/>
      <c r="C52" s="499">
        <v>3</v>
      </c>
      <c r="D52" s="29">
        <v>21603003</v>
      </c>
      <c r="E52" s="177" t="s">
        <v>242</v>
      </c>
      <c r="F52" s="11">
        <f>IF(' جهات'!G201&gt;0,' جهات'!G201,"")</f>
        <v>35000</v>
      </c>
      <c r="G52" s="11">
        <f>IF(' جهات'!H201&gt;0,' جهات'!H201,"")</f>
        <v>35000</v>
      </c>
      <c r="H52" s="11">
        <f>IF(' جهات'!I201&gt;0,' جهات'!I201,"")</f>
        <v>3138</v>
      </c>
      <c r="I52" s="11">
        <f>IF(' جهات'!J201&gt;0,' جهات'!J201,"")</f>
        <v>18556</v>
      </c>
      <c r="J52" s="137">
        <f>IF(' جهات'!K201&gt;0,' جهات'!K201,"")</f>
        <v>40000</v>
      </c>
      <c r="K52" s="112">
        <f>IFERROR(J52/F52,"")</f>
        <v>1.1428571428571428</v>
      </c>
    </row>
    <row r="53" spans="2:11" ht="14.25" customHeight="1" x14ac:dyDescent="0.2">
      <c r="B53" s="498"/>
      <c r="C53" s="499"/>
      <c r="D53" s="29">
        <v>21603004</v>
      </c>
      <c r="E53" s="177" t="s">
        <v>241</v>
      </c>
      <c r="F53" s="11">
        <f>IF(' جهات'!G202&gt;0,' جهات'!G202,"")</f>
        <v>80000</v>
      </c>
      <c r="G53" s="11">
        <f>IF(' جهات'!H202&gt;0,' جهات'!H202,"")</f>
        <v>80000</v>
      </c>
      <c r="H53" s="11">
        <f>IF(' جهات'!I202&gt;0,' جهات'!I202,"")</f>
        <v>3402.5</v>
      </c>
      <c r="I53" s="11">
        <f>IF(' جهات'!J202&gt;0,' جهات'!J202,"")</f>
        <v>67897.5</v>
      </c>
      <c r="J53" s="137">
        <f>IF(' جهات'!K202&gt;0,' جهات'!K202,"")</f>
        <v>95000</v>
      </c>
      <c r="K53" s="112">
        <f>IFERROR(J53/F53,"")</f>
        <v>1.1875</v>
      </c>
    </row>
    <row r="54" spans="2:11" ht="14.25" customHeight="1" x14ac:dyDescent="0.2">
      <c r="B54" s="498"/>
      <c r="C54" s="499"/>
      <c r="D54" s="29">
        <v>21603006</v>
      </c>
      <c r="E54" s="177" t="s">
        <v>240</v>
      </c>
      <c r="F54" s="11">
        <f>IF(' جهات'!G203&gt;0,' جهات'!G203,"")</f>
        <v>50000</v>
      </c>
      <c r="G54" s="11">
        <f>IF(' جهات'!H203&gt;0,' جهات'!H203,"")</f>
        <v>50000</v>
      </c>
      <c r="H54" s="11" t="str">
        <f>IF(' جهات'!I203&gt;0,' جهات'!I203,"")</f>
        <v/>
      </c>
      <c r="I54" s="11">
        <f>IF(' جهات'!J203&gt;0,' جهات'!J203,"")</f>
        <v>37200</v>
      </c>
      <c r="J54" s="137">
        <f>IF(' جهات'!K203&gt;0,' جهات'!K203,"")</f>
        <v>60000</v>
      </c>
      <c r="K54" s="112">
        <f>IFERROR(J54/F54,"")</f>
        <v>1.2</v>
      </c>
    </row>
    <row r="55" spans="2:11" x14ac:dyDescent="0.2">
      <c r="B55" s="498"/>
      <c r="C55" s="497" t="s">
        <v>23</v>
      </c>
      <c r="D55" s="497"/>
      <c r="E55" s="497"/>
      <c r="F55" s="149">
        <f t="shared" ref="F55:J55" si="12">SUM(F52:F54)</f>
        <v>165000</v>
      </c>
      <c r="G55" s="149">
        <f t="shared" si="12"/>
        <v>165000</v>
      </c>
      <c r="H55" s="149">
        <f>SUM(H52:H54)</f>
        <v>6540.5</v>
      </c>
      <c r="I55" s="149">
        <f t="shared" si="12"/>
        <v>123653.5</v>
      </c>
      <c r="J55" s="149">
        <f t="shared" si="12"/>
        <v>195000</v>
      </c>
      <c r="K55" s="112">
        <f>IFERROR(J55/F55,"")</f>
        <v>1.1818181818181819</v>
      </c>
    </row>
    <row r="56" spans="2:11" x14ac:dyDescent="0.2">
      <c r="B56" s="498"/>
      <c r="C56" s="500" t="s">
        <v>112</v>
      </c>
      <c r="D56" s="500"/>
      <c r="E56" s="500"/>
      <c r="F56" s="500"/>
      <c r="G56" s="500"/>
      <c r="H56" s="500"/>
      <c r="I56" s="500"/>
      <c r="J56" s="500"/>
      <c r="K56" s="501"/>
    </row>
    <row r="57" spans="2:11" ht="14.25" customHeight="1" x14ac:dyDescent="0.2">
      <c r="B57" s="498"/>
      <c r="C57" s="499">
        <v>4</v>
      </c>
      <c r="D57" s="28">
        <v>21604001</v>
      </c>
      <c r="E57" s="175" t="s">
        <v>499</v>
      </c>
      <c r="F57" s="11">
        <f>IF(' جهات'!G337&gt;0,' جهات'!G337,"")</f>
        <v>50000</v>
      </c>
      <c r="G57" s="11">
        <f>IF(' جهات'!H337&gt;0,' جهات'!H337,"")</f>
        <v>30000</v>
      </c>
      <c r="H57" s="11">
        <f>IF(' جهات'!I337&gt;0,' جهات'!I337,"")</f>
        <v>10445.18</v>
      </c>
      <c r="I57" s="11">
        <f>IF(' جهات'!J337&gt;0,' جهات'!J337,"")</f>
        <v>772.6</v>
      </c>
      <c r="J57" s="137">
        <f>IF(' جهات'!K337&gt;0,' جهات'!K337,"")</f>
        <v>50000</v>
      </c>
      <c r="K57" s="112">
        <f t="shared" ref="K57:K62" si="13">IFERROR(J57/F57,"")</f>
        <v>1</v>
      </c>
    </row>
    <row r="58" spans="2:11" ht="14.25" customHeight="1" x14ac:dyDescent="0.2">
      <c r="B58" s="498"/>
      <c r="C58" s="499"/>
      <c r="D58" s="28">
        <v>21604002</v>
      </c>
      <c r="E58" s="175" t="s">
        <v>500</v>
      </c>
      <c r="F58" s="11">
        <f>IF(' جهات'!G338&gt;0,' جهات'!G338,"")</f>
        <v>60000</v>
      </c>
      <c r="G58" s="11">
        <f>IF(' جهات'!H338&gt;0,' جهات'!H338,"")</f>
        <v>45000</v>
      </c>
      <c r="H58" s="11">
        <f>IF(' جهات'!I338&gt;0,' جهات'!I338,"")</f>
        <v>20260.401000000002</v>
      </c>
      <c r="I58" s="11">
        <f>IF(' جهات'!J338&gt;0,' جهات'!J338,"")</f>
        <v>22843.544999999998</v>
      </c>
      <c r="J58" s="137">
        <f>IF(' جهات'!K338&gt;0,' جهات'!K338,"")</f>
        <v>60000</v>
      </c>
      <c r="K58" s="112">
        <f t="shared" si="13"/>
        <v>1</v>
      </c>
    </row>
    <row r="59" spans="2:11" ht="14.25" customHeight="1" x14ac:dyDescent="0.2">
      <c r="B59" s="498"/>
      <c r="C59" s="499"/>
      <c r="D59" s="29">
        <v>21604004</v>
      </c>
      <c r="E59" s="177" t="s">
        <v>243</v>
      </c>
      <c r="F59" s="11">
        <f>IF(' جهات'!G297&gt;0,' جهات'!G297,"")</f>
        <v>5000</v>
      </c>
      <c r="G59" s="11">
        <f>IF(' جهات'!H297&gt;0,' جهات'!H297,"")</f>
        <v>5000</v>
      </c>
      <c r="H59" s="11">
        <f>IF(' جهات'!I297&gt;0,' جهات'!I297,"")</f>
        <v>684.02</v>
      </c>
      <c r="I59" s="11">
        <f>IF(' جهات'!J297&gt;0,' جهات'!J297,"")</f>
        <v>1365.98</v>
      </c>
      <c r="J59" s="137">
        <f>IF(' جهات'!K297&gt;0,' جهات'!K297,"")</f>
        <v>5000</v>
      </c>
      <c r="K59" s="112">
        <f t="shared" si="13"/>
        <v>1</v>
      </c>
    </row>
    <row r="60" spans="2:11" ht="14.25" customHeight="1" x14ac:dyDescent="0.2">
      <c r="B60" s="498"/>
      <c r="C60" s="499"/>
      <c r="D60" s="29">
        <v>21604010</v>
      </c>
      <c r="E60" s="177" t="s">
        <v>40</v>
      </c>
      <c r="F60" s="11">
        <f>IF(' جهات'!G298&gt;0,' جهات'!G298,"")</f>
        <v>1500</v>
      </c>
      <c r="G60" s="11">
        <f>IF(' جهات'!H298&gt;0,' جهات'!H298,"")</f>
        <v>1500</v>
      </c>
      <c r="H60" s="11">
        <f>IF(' جهات'!I298&gt;0,' جهات'!I298,"")</f>
        <v>247.25</v>
      </c>
      <c r="I60" s="11" t="str">
        <f>IF(' جهات'!J298&gt;0,' جهات'!J298,"")</f>
        <v/>
      </c>
      <c r="J60" s="137">
        <f>IF(' جهات'!K298&gt;0,' جهات'!K298,"")</f>
        <v>1500</v>
      </c>
      <c r="K60" s="112">
        <f t="shared" si="13"/>
        <v>1</v>
      </c>
    </row>
    <row r="61" spans="2:11" s="46" customFormat="1" ht="14.25" customHeight="1" x14ac:dyDescent="0.2">
      <c r="B61" s="498"/>
      <c r="C61" s="499"/>
      <c r="D61" s="121"/>
      <c r="E61" s="178" t="s">
        <v>512</v>
      </c>
      <c r="F61" s="65" t="str">
        <f>IF(' جهات'!G339&gt;0,' جهات'!G339,"")</f>
        <v/>
      </c>
      <c r="G61" s="65" t="str">
        <f>IF(' جهات'!H339&gt;0,' جهات'!H339,"")</f>
        <v/>
      </c>
      <c r="H61" s="65" t="str">
        <f>IF(' جهات'!I339&gt;0,' جهات'!I339,"")</f>
        <v/>
      </c>
      <c r="I61" s="65" t="str">
        <f>IF(' جهات'!J339&gt;0,' جهات'!J339,"")</f>
        <v/>
      </c>
      <c r="J61" s="137">
        <f>IF(' جهات'!K339&gt;0,' جهات'!K339,"")</f>
        <v>100000</v>
      </c>
      <c r="K61" s="112" t="str">
        <f t="shared" si="13"/>
        <v/>
      </c>
    </row>
    <row r="62" spans="2:11" x14ac:dyDescent="0.2">
      <c r="B62" s="498"/>
      <c r="C62" s="497" t="s">
        <v>23</v>
      </c>
      <c r="D62" s="497"/>
      <c r="E62" s="497"/>
      <c r="F62" s="149">
        <f t="shared" ref="F62:I62" si="14">SUM(F57:F61)</f>
        <v>116500</v>
      </c>
      <c r="G62" s="149">
        <f t="shared" si="14"/>
        <v>81500</v>
      </c>
      <c r="H62" s="149">
        <f>SUM(H57:H61)</f>
        <v>31636.851000000002</v>
      </c>
      <c r="I62" s="149">
        <f t="shared" si="14"/>
        <v>24982.124999999996</v>
      </c>
      <c r="J62" s="149">
        <f>SUM(J57:J61)</f>
        <v>216500</v>
      </c>
      <c r="K62" s="112">
        <f t="shared" si="13"/>
        <v>1.8583690987124464</v>
      </c>
    </row>
    <row r="63" spans="2:11" x14ac:dyDescent="0.2">
      <c r="B63" s="498"/>
      <c r="C63" s="500" t="s">
        <v>278</v>
      </c>
      <c r="D63" s="500"/>
      <c r="E63" s="500"/>
      <c r="F63" s="500"/>
      <c r="G63" s="500"/>
      <c r="H63" s="500"/>
      <c r="I63" s="500"/>
      <c r="J63" s="500"/>
      <c r="K63" s="501"/>
    </row>
    <row r="64" spans="2:11" ht="14.25" customHeight="1" x14ac:dyDescent="0.2">
      <c r="B64" s="498"/>
      <c r="C64" s="299">
        <v>5</v>
      </c>
      <c r="D64" s="28">
        <v>21605001</v>
      </c>
      <c r="E64" s="175" t="s">
        <v>491</v>
      </c>
      <c r="F64" s="11">
        <f>IF(' جهات'!G299&gt;0,' جهات'!G299,"")</f>
        <v>50000</v>
      </c>
      <c r="G64" s="11">
        <f>IF(' جهات'!H299&gt;0,' جهات'!H299,"")</f>
        <v>50000</v>
      </c>
      <c r="H64" s="11">
        <f>IF(' جهات'!I299&gt;0,' جهات'!I299,"")</f>
        <v>9726.81</v>
      </c>
      <c r="I64" s="11">
        <f>IF(' جهات'!J299&gt;0,' جهات'!J299,"")</f>
        <v>7326.49</v>
      </c>
      <c r="J64" s="137">
        <f>IF(' جهات'!K299&gt;0,' جهات'!K299,"")</f>
        <v>50000</v>
      </c>
      <c r="K64" s="112">
        <f>IFERROR(J64/F64,"")</f>
        <v>1</v>
      </c>
    </row>
    <row r="65" spans="2:11" x14ac:dyDescent="0.2">
      <c r="B65" s="498"/>
      <c r="C65" s="497" t="s">
        <v>23</v>
      </c>
      <c r="D65" s="497"/>
      <c r="E65" s="497"/>
      <c r="F65" s="149">
        <f t="shared" ref="F65:J65" si="15">SUM(F64:F64)</f>
        <v>50000</v>
      </c>
      <c r="G65" s="149">
        <f t="shared" si="15"/>
        <v>50000</v>
      </c>
      <c r="H65" s="149">
        <f>SUM(H64:H64)</f>
        <v>9726.81</v>
      </c>
      <c r="I65" s="149">
        <f t="shared" si="15"/>
        <v>7326.49</v>
      </c>
      <c r="J65" s="149">
        <f t="shared" si="15"/>
        <v>50000</v>
      </c>
      <c r="K65" s="112">
        <f>IFERROR(J65/F65,"")</f>
        <v>1</v>
      </c>
    </row>
    <row r="66" spans="2:11" x14ac:dyDescent="0.2">
      <c r="B66" s="498"/>
      <c r="C66" s="500" t="s">
        <v>113</v>
      </c>
      <c r="D66" s="500"/>
      <c r="E66" s="500"/>
      <c r="F66" s="500"/>
      <c r="G66" s="500"/>
      <c r="H66" s="500"/>
      <c r="I66" s="500"/>
      <c r="J66" s="500"/>
      <c r="K66" s="501"/>
    </row>
    <row r="67" spans="2:11" ht="14.25" customHeight="1" x14ac:dyDescent="0.2">
      <c r="B67" s="498"/>
      <c r="C67" s="499">
        <v>6</v>
      </c>
      <c r="D67" s="28">
        <v>21606001</v>
      </c>
      <c r="E67" s="175" t="s">
        <v>41</v>
      </c>
      <c r="F67" s="11">
        <f>IF(' جهات'!G270+' جهات'!G300+' جهات'!G340+' جهات'!G379+' جهات'!G389&gt;0,' جهات'!G270+' جهات'!G300+' جهات'!G340+' جهات'!G379+' جهات'!G389,"")</f>
        <v>38000</v>
      </c>
      <c r="G67" s="11">
        <f>IF(' جهات'!H270+' جهات'!H300+' جهات'!H340+' جهات'!H379+' جهات'!H389&gt;0,' جهات'!H270+' جهات'!H300+' جهات'!H340+' جهات'!H379+' جهات'!H389,"")</f>
        <v>38000</v>
      </c>
      <c r="H67" s="11">
        <f>IF(' جهات'!I270+' جهات'!I300+' جهات'!I340+' جهات'!I379+' جهات'!I389&gt;0,' جهات'!I270+' جهات'!I300+' جهات'!I340+' جهات'!I379+' جهات'!I389,"")</f>
        <v>1800</v>
      </c>
      <c r="I67" s="11">
        <f>IF(' جهات'!J270+' جهات'!J300+' جهات'!J340+' جهات'!J379+' جهات'!J389&gt;0,' جهات'!J270+' جهات'!J300+' جهات'!J340+' جهات'!J379+' جهات'!J389,"")</f>
        <v>1500</v>
      </c>
      <c r="J67" s="137">
        <f>IF(' جهات'!K270+' جهات'!K300+' جهات'!K340+' جهات'!K379+' جهات'!K389&gt;0,' جهات'!K270+' جهات'!K300+' جهات'!K340+' جهات'!K379+' جهات'!K389,"")</f>
        <v>30000</v>
      </c>
      <c r="K67" s="112">
        <f>IFERROR(J67/F67,"")</f>
        <v>0.78947368421052633</v>
      </c>
    </row>
    <row r="68" spans="2:11" ht="14.25" customHeight="1" x14ac:dyDescent="0.2">
      <c r="B68" s="498"/>
      <c r="C68" s="499"/>
      <c r="D68" s="28">
        <v>21606002</v>
      </c>
      <c r="E68" s="175" t="s">
        <v>42</v>
      </c>
      <c r="F68" s="11">
        <f>IF(' جهات'!G188&gt;0,' جهات'!G181,"")</f>
        <v>7000</v>
      </c>
      <c r="G68" s="11">
        <f>IF(' جهات'!H188&gt;0,' جهات'!H181,"")</f>
        <v>7000</v>
      </c>
      <c r="H68" s="11" t="str">
        <f>IF(' جهات'!I188&gt;0,' جهات'!I181,"")</f>
        <v/>
      </c>
      <c r="I68" s="11" t="str">
        <f>IF(' جهات'!J188&gt;0,' جهات'!J181,"")</f>
        <v/>
      </c>
      <c r="J68" s="137">
        <f>IF(' جهات'!K188&gt;0,' جهات'!K181,"")</f>
        <v>7000</v>
      </c>
      <c r="K68" s="112">
        <f>IFERROR(J68/F68,"")</f>
        <v>1</v>
      </c>
    </row>
    <row r="69" spans="2:11" ht="14.25" customHeight="1" x14ac:dyDescent="0.2">
      <c r="B69" s="498"/>
      <c r="C69" s="499"/>
      <c r="D69" s="28">
        <v>21606003</v>
      </c>
      <c r="E69" s="175" t="s">
        <v>43</v>
      </c>
      <c r="F69" s="11">
        <f>IF(' جهات'!G11&gt;0,' جهات'!G11,"")</f>
        <v>500</v>
      </c>
      <c r="G69" s="11">
        <f>IF(' جهات'!H11&gt;0,' جهات'!H11,"")</f>
        <v>500</v>
      </c>
      <c r="H69" s="11" t="str">
        <f>IF(' جهات'!I11&gt;0,' جهات'!I11,"")</f>
        <v/>
      </c>
      <c r="I69" s="11" t="str">
        <f>IF(' جهات'!J11&gt;0,' جهات'!J11,"")</f>
        <v/>
      </c>
      <c r="J69" s="137">
        <f>IF(' جهات'!K11&gt;0,' جهات'!K11,"")</f>
        <v>500</v>
      </c>
      <c r="K69" s="112">
        <f>IFERROR(J69/F69,"")</f>
        <v>1</v>
      </c>
    </row>
    <row r="70" spans="2:11" x14ac:dyDescent="0.2">
      <c r="B70" s="498"/>
      <c r="C70" s="497" t="s">
        <v>23</v>
      </c>
      <c r="D70" s="497"/>
      <c r="E70" s="497"/>
      <c r="F70" s="149">
        <f>SUM(F67:F69)</f>
        <v>45500</v>
      </c>
      <c r="G70" s="149">
        <f t="shared" ref="G70:J70" si="16">SUM(G67:G69)</f>
        <v>45500</v>
      </c>
      <c r="H70" s="149">
        <f t="shared" si="16"/>
        <v>1800</v>
      </c>
      <c r="I70" s="149">
        <f t="shared" si="16"/>
        <v>1500</v>
      </c>
      <c r="J70" s="149">
        <f t="shared" si="16"/>
        <v>37500</v>
      </c>
      <c r="K70" s="112">
        <f>IFERROR(J70/F70,"")</f>
        <v>0.82417582417582413</v>
      </c>
    </row>
    <row r="71" spans="2:11" x14ac:dyDescent="0.2">
      <c r="B71" s="498"/>
      <c r="C71" s="500" t="s">
        <v>279</v>
      </c>
      <c r="D71" s="500"/>
      <c r="E71" s="500"/>
      <c r="F71" s="500"/>
      <c r="G71" s="500"/>
      <c r="H71" s="500"/>
      <c r="I71" s="500"/>
      <c r="J71" s="500"/>
      <c r="K71" s="501"/>
    </row>
    <row r="72" spans="2:11" ht="14.25" customHeight="1" x14ac:dyDescent="0.2">
      <c r="B72" s="498"/>
      <c r="C72" s="499">
        <v>7</v>
      </c>
      <c r="D72" s="28">
        <v>21607001</v>
      </c>
      <c r="E72" s="175" t="s">
        <v>44</v>
      </c>
      <c r="F72" s="11">
        <f>IF(' جهات'!G271&gt;0,' جهات'!G271,"")</f>
        <v>70000</v>
      </c>
      <c r="G72" s="11">
        <f>IF(' جهات'!H271&gt;0,' جهات'!H271,"")</f>
        <v>70000</v>
      </c>
      <c r="H72" s="11">
        <f>IF(' جهات'!I271&gt;0,' جهات'!I271,"")</f>
        <v>18599.789000000001</v>
      </c>
      <c r="I72" s="11">
        <f>IF(' جهات'!J271&gt;0,' جهات'!J271,"")</f>
        <v>43215.250999999997</v>
      </c>
      <c r="J72" s="137">
        <f>IF(' جهات'!K271&gt;0,' جهات'!K271,"")</f>
        <v>70000</v>
      </c>
      <c r="K72" s="112">
        <f>IFERROR(J72/F72,"")</f>
        <v>1</v>
      </c>
    </row>
    <row r="73" spans="2:11" ht="14.25" customHeight="1" x14ac:dyDescent="0.2">
      <c r="B73" s="498"/>
      <c r="C73" s="499"/>
      <c r="D73" s="29">
        <v>21607004</v>
      </c>
      <c r="E73" s="177" t="s">
        <v>244</v>
      </c>
      <c r="F73" s="11">
        <f>IF(' جهات'!G272&gt;0,' جهات'!G272,"")</f>
        <v>15000</v>
      </c>
      <c r="G73" s="11">
        <f>IF(' جهات'!H272&gt;0,' جهات'!H272,"")</f>
        <v>15000</v>
      </c>
      <c r="H73" s="11">
        <f>IF(' جهات'!I272&gt;0,' جهات'!I272,"")</f>
        <v>11039.035</v>
      </c>
      <c r="I73" s="11">
        <f>IF(' جهات'!J272&gt;0,' جهات'!J272,"")</f>
        <v>1667.442</v>
      </c>
      <c r="J73" s="137">
        <f>IF(' جهات'!K272&gt;0,' جهات'!K272,"")</f>
        <v>15000</v>
      </c>
      <c r="K73" s="112">
        <f>IFERROR(J73/F73,"")</f>
        <v>1</v>
      </c>
    </row>
    <row r="74" spans="2:11" s="46" customFormat="1" ht="14.25" customHeight="1" x14ac:dyDescent="0.2">
      <c r="B74" s="498"/>
      <c r="C74" s="499"/>
      <c r="D74" s="121"/>
      <c r="E74" s="57" t="s">
        <v>517</v>
      </c>
      <c r="F74" s="65" t="str">
        <f>IF(' جهات'!G282&gt;0,' جهات'!G282,"")</f>
        <v/>
      </c>
      <c r="G74" s="65" t="str">
        <f>IF(' جهات'!H282&gt;0,' جهات'!H282,"")</f>
        <v/>
      </c>
      <c r="H74" s="65" t="str">
        <f>IF(' جهات'!I282&gt;0,' جهات'!I282,"")</f>
        <v/>
      </c>
      <c r="I74" s="65" t="str">
        <f>IF(' جهات'!J282&gt;0,' جهات'!J282,"")</f>
        <v/>
      </c>
      <c r="J74" s="137">
        <f>IF(' جهات'!K282&gt;0,' جهات'!K282,"")</f>
        <v>7000</v>
      </c>
      <c r="K74" s="112" t="str">
        <f>IFERROR(J74/F74,"")</f>
        <v/>
      </c>
    </row>
    <row r="75" spans="2:11" x14ac:dyDescent="0.2">
      <c r="B75" s="498"/>
      <c r="C75" s="497" t="s">
        <v>23</v>
      </c>
      <c r="D75" s="497"/>
      <c r="E75" s="497"/>
      <c r="F75" s="149">
        <f t="shared" ref="F75:I75" si="17">SUM(F72:F74)</f>
        <v>85000</v>
      </c>
      <c r="G75" s="149">
        <f t="shared" si="17"/>
        <v>85000</v>
      </c>
      <c r="H75" s="149">
        <f>SUM(H72:H74)</f>
        <v>29638.824000000001</v>
      </c>
      <c r="I75" s="149">
        <f t="shared" si="17"/>
        <v>44882.692999999999</v>
      </c>
      <c r="J75" s="149">
        <f>SUM(J72:J74)</f>
        <v>92000</v>
      </c>
      <c r="K75" s="112">
        <f>IFERROR(J75/F75,"")</f>
        <v>1.0823529411764705</v>
      </c>
    </row>
    <row r="76" spans="2:11" x14ac:dyDescent="0.2">
      <c r="B76" s="498"/>
      <c r="C76" s="500" t="s">
        <v>45</v>
      </c>
      <c r="D76" s="500"/>
      <c r="E76" s="500"/>
      <c r="F76" s="500"/>
      <c r="G76" s="500"/>
      <c r="H76" s="500"/>
      <c r="I76" s="500"/>
      <c r="J76" s="500"/>
      <c r="K76" s="501"/>
    </row>
    <row r="77" spans="2:11" x14ac:dyDescent="0.2">
      <c r="B77" s="498"/>
      <c r="C77" s="500" t="s">
        <v>312</v>
      </c>
      <c r="D77" s="500"/>
      <c r="E77" s="500"/>
      <c r="F77" s="500"/>
      <c r="G77" s="500"/>
      <c r="H77" s="500"/>
      <c r="I77" s="500"/>
      <c r="J77" s="500"/>
      <c r="K77" s="501"/>
    </row>
    <row r="78" spans="2:11" ht="14.25" customHeight="1" x14ac:dyDescent="0.2">
      <c r="B78" s="498"/>
      <c r="C78" s="499">
        <v>9</v>
      </c>
      <c r="D78" s="28">
        <v>21609001</v>
      </c>
      <c r="E78" s="175" t="s">
        <v>277</v>
      </c>
      <c r="F78" s="11">
        <f>IF(' جهات'!G322+' جهات'!G301&gt;0,' جهات'!G322+' جهات'!G301,"")</f>
        <v>5000</v>
      </c>
      <c r="G78" s="11">
        <f>IF(' جهات'!H322+' جهات'!H301&gt;0,' جهات'!H322+' جهات'!H301,"")</f>
        <v>5000</v>
      </c>
      <c r="H78" s="11" t="str">
        <f>IF(' جهات'!I322+' جهات'!I301&gt;0,' جهات'!I322+' جهات'!I301,"")</f>
        <v/>
      </c>
      <c r="I78" s="11" t="str">
        <f>IF(' جهات'!J322+' جهات'!J301&gt;0,' جهات'!J322+' جهات'!J301,"")</f>
        <v/>
      </c>
      <c r="J78" s="137">
        <f>IF(' جهات'!K322+' جهات'!K301&gt;0,' جهات'!K322+' جهات'!K301,"")</f>
        <v>15000</v>
      </c>
      <c r="K78" s="112">
        <f>IFERROR(J78/F78,"")</f>
        <v>3</v>
      </c>
    </row>
    <row r="79" spans="2:11" ht="14.25" customHeight="1" x14ac:dyDescent="0.2">
      <c r="B79" s="498"/>
      <c r="C79" s="499"/>
      <c r="D79" s="28">
        <v>21609002</v>
      </c>
      <c r="E79" s="175" t="s">
        <v>493</v>
      </c>
      <c r="F79" s="11">
        <f>IF(' جهات'!G323+' جهات'!G302&gt;0,' جهات'!G323+' جهات'!G302,"")</f>
        <v>15000</v>
      </c>
      <c r="G79" s="11">
        <f>IF(' جهات'!H323+' جهات'!H302&gt;0,' جهات'!H323+' جهات'!H302,"")</f>
        <v>50000</v>
      </c>
      <c r="H79" s="11">
        <f>IF(' جهات'!I323+' جهات'!I302&gt;0,' جهات'!I323+' جهات'!I302,"")</f>
        <v>23808.9</v>
      </c>
      <c r="I79" s="11">
        <f>IF(' جهات'!J323+' جهات'!J302&gt;0,' جهات'!J323+' جهات'!J302,"")</f>
        <v>16376.075000000001</v>
      </c>
      <c r="J79" s="137">
        <f>IF(' جهات'!K323+' جهات'!K302&gt;0,' جهات'!K323+' جهات'!K302,"")</f>
        <v>25000</v>
      </c>
      <c r="K79" s="112">
        <f>IFERROR(J79/F79,"")</f>
        <v>1.6666666666666667</v>
      </c>
    </row>
    <row r="80" spans="2:11" x14ac:dyDescent="0.2">
      <c r="B80" s="498"/>
      <c r="C80" s="497" t="s">
        <v>23</v>
      </c>
      <c r="D80" s="497"/>
      <c r="E80" s="497"/>
      <c r="F80" s="149">
        <f t="shared" ref="F80:J80" si="18">SUM(F78:F79)</f>
        <v>20000</v>
      </c>
      <c r="G80" s="149">
        <f t="shared" si="18"/>
        <v>55000</v>
      </c>
      <c r="H80" s="149">
        <f>SUM(H78:H79)</f>
        <v>23808.9</v>
      </c>
      <c r="I80" s="149">
        <f t="shared" si="18"/>
        <v>16376.075000000001</v>
      </c>
      <c r="J80" s="149">
        <f t="shared" si="18"/>
        <v>40000</v>
      </c>
      <c r="K80" s="112">
        <f>IFERROR(J80/F80,"")</f>
        <v>2</v>
      </c>
    </row>
    <row r="81" spans="2:11" x14ac:dyDescent="0.2">
      <c r="B81" s="498"/>
      <c r="C81" s="500" t="s">
        <v>280</v>
      </c>
      <c r="D81" s="500"/>
      <c r="E81" s="500"/>
      <c r="F81" s="500"/>
      <c r="G81" s="500"/>
      <c r="H81" s="500"/>
      <c r="I81" s="500"/>
      <c r="J81" s="500"/>
      <c r="K81" s="501"/>
    </row>
    <row r="82" spans="2:11" x14ac:dyDescent="0.2">
      <c r="B82" s="498"/>
      <c r="C82" s="299">
        <v>10</v>
      </c>
      <c r="D82" s="29">
        <v>21610001</v>
      </c>
      <c r="E82" s="177" t="s">
        <v>281</v>
      </c>
      <c r="F82" s="11">
        <f>IF(' جهات'!G303&gt;0,' جهات'!G303,"")</f>
        <v>4000</v>
      </c>
      <c r="G82" s="11">
        <f>IF(' جهات'!H303&gt;0,' جهات'!H303,"")</f>
        <v>4000</v>
      </c>
      <c r="H82" s="11" t="str">
        <f>IF(' جهات'!I303&gt;0,' جهات'!I303,"")</f>
        <v/>
      </c>
      <c r="I82" s="11" t="str">
        <f>IF(' جهات'!J303&gt;0,' جهات'!J303,"")</f>
        <v/>
      </c>
      <c r="J82" s="137">
        <f>IF(' جهات'!K303&gt;0,' جهات'!K303,"")</f>
        <v>4000</v>
      </c>
      <c r="K82" s="112">
        <f>IFERROR(J82/F82,"")</f>
        <v>1</v>
      </c>
    </row>
    <row r="83" spans="2:11" x14ac:dyDescent="0.2">
      <c r="B83" s="498"/>
      <c r="C83" s="497" t="s">
        <v>23</v>
      </c>
      <c r="D83" s="497"/>
      <c r="E83" s="497"/>
      <c r="F83" s="149">
        <f>SUM(F82)</f>
        <v>4000</v>
      </c>
      <c r="G83" s="149">
        <f t="shared" ref="G83:J83" si="19">SUM(G82)</f>
        <v>4000</v>
      </c>
      <c r="H83" s="149">
        <f t="shared" si="19"/>
        <v>0</v>
      </c>
      <c r="I83" s="149">
        <f t="shared" si="19"/>
        <v>0</v>
      </c>
      <c r="J83" s="149">
        <f t="shared" si="19"/>
        <v>4000</v>
      </c>
      <c r="K83" s="112">
        <f>IFERROR(J83/F83,"")</f>
        <v>1</v>
      </c>
    </row>
    <row r="84" spans="2:11" x14ac:dyDescent="0.2">
      <c r="B84" s="432" t="s">
        <v>114</v>
      </c>
      <c r="C84" s="433"/>
      <c r="D84" s="433"/>
      <c r="E84" s="433"/>
      <c r="F84" s="150">
        <f t="shared" ref="F84:J84" si="20">+F55+F62+F65+F70+F75+F80+F83</f>
        <v>486000</v>
      </c>
      <c r="G84" s="150">
        <f t="shared" si="20"/>
        <v>486000</v>
      </c>
      <c r="H84" s="150">
        <f t="shared" si="20"/>
        <v>103151.88500000001</v>
      </c>
      <c r="I84" s="150">
        <f t="shared" si="20"/>
        <v>218720.883</v>
      </c>
      <c r="J84" s="150">
        <f t="shared" si="20"/>
        <v>635000</v>
      </c>
      <c r="K84" s="112">
        <f>IFERROR(J84/F84,"")</f>
        <v>1.3065843621399178</v>
      </c>
    </row>
    <row r="85" spans="2:11" x14ac:dyDescent="0.2">
      <c r="B85" s="468" t="s">
        <v>258</v>
      </c>
      <c r="C85" s="469"/>
      <c r="D85" s="469"/>
      <c r="E85" s="469"/>
      <c r="F85" s="469"/>
      <c r="G85" s="469"/>
      <c r="H85" s="469"/>
      <c r="I85" s="469"/>
      <c r="J85" s="469"/>
      <c r="K85" s="470"/>
    </row>
    <row r="86" spans="2:11" x14ac:dyDescent="0.2">
      <c r="B86" s="498">
        <v>26</v>
      </c>
      <c r="C86" s="500" t="s">
        <v>115</v>
      </c>
      <c r="D86" s="500"/>
      <c r="E86" s="500"/>
      <c r="F86" s="500"/>
      <c r="G86" s="500"/>
      <c r="H86" s="500"/>
      <c r="I86" s="500"/>
      <c r="J86" s="500"/>
      <c r="K86" s="501"/>
    </row>
    <row r="87" spans="2:11" ht="14.25" customHeight="1" x14ac:dyDescent="0.2">
      <c r="B87" s="498"/>
      <c r="C87" s="499">
        <v>1</v>
      </c>
      <c r="D87" s="28">
        <v>22601001</v>
      </c>
      <c r="E87" s="175" t="s">
        <v>252</v>
      </c>
      <c r="F87" s="11">
        <f>IF(' جهات'!G56+' جهات'!G76+' جهات'!G85+' جهات'!G132+' جهات'!G147+' جهات'!G182+' جهات'!G218+' جهات'!G117&gt;0,' جهات'!G56+' جهات'!G76+' جهات'!G85+' جهات'!G132+' جهات'!G147+' جهات'!G182+' جهات'!G218+' جهات'!G117,"")</f>
        <v>41000</v>
      </c>
      <c r="G87" s="11">
        <f>IF(' جهات'!H56+' جهات'!H76+' جهات'!H85+' جهات'!H132+' جهات'!H147+' جهات'!H182+' جهات'!H218+' جهات'!H117&gt;0,' جهات'!H56+' جهات'!H76+' جهات'!H85+' جهات'!H132+' جهات'!H147+' جهات'!H182+' جهات'!H218+' جهات'!H117,"")</f>
        <v>40800</v>
      </c>
      <c r="H87" s="11">
        <f>IF(' جهات'!I56+' جهات'!I76+' جهات'!I85+' جهات'!I132+' جهات'!I147+' جهات'!I182+' جهات'!I218+' جهات'!I117&gt;0,' جهات'!I56+' جهات'!I76+' جهات'!I85+' جهات'!I132+' جهات'!I147+' جهات'!I182+' جهات'!I218+' جهات'!I117,"")</f>
        <v>14069.2</v>
      </c>
      <c r="I87" s="11">
        <f>IF(' جهات'!J56+' جهات'!J76+' جهات'!J85+' جهات'!J132+' جهات'!J147+' جهات'!J182+' جهات'!J218+' جهات'!J117&gt;0,' جهات'!J56+' جهات'!J76+' جهات'!J85+' جهات'!J132+' جهات'!J147+' جهات'!J182+' جهات'!J218+' جهات'!J117,"")</f>
        <v>1864</v>
      </c>
      <c r="J87" s="137">
        <f>IF(' جهات'!K56+' جهات'!K76+' جهات'!K85+' جهات'!K132+' جهات'!K147+' جهات'!K182+' جهات'!K218+' جهات'!K117&gt;0,' جهات'!K56+' جهات'!K76+' جهات'!K85+' جهات'!K132+' جهات'!K147+' جهات'!K182+' جهات'!K218+' جهات'!K117,"")</f>
        <v>37000</v>
      </c>
      <c r="K87" s="112">
        <f t="shared" ref="K87:K92" si="21">IFERROR(J87/F87,"")</f>
        <v>0.90243902439024393</v>
      </c>
    </row>
    <row r="88" spans="2:11" s="46" customFormat="1" ht="14.25" customHeight="1" x14ac:dyDescent="0.2">
      <c r="B88" s="498"/>
      <c r="C88" s="499"/>
      <c r="D88" s="121"/>
      <c r="E88" s="57" t="s">
        <v>513</v>
      </c>
      <c r="F88" s="65" t="str">
        <f>IF(' جهات'!G356&gt;0,' جهات'!G356,"")</f>
        <v/>
      </c>
      <c r="G88" s="65" t="str">
        <f>IF(' جهات'!H356&gt;0,' جهات'!H356,"")</f>
        <v/>
      </c>
      <c r="H88" s="65" t="str">
        <f>IF(' جهات'!I356&gt;0,' جهات'!I356,"")</f>
        <v/>
      </c>
      <c r="I88" s="65" t="str">
        <f>IF(' جهات'!J356&gt;0,' جهات'!J356,"")</f>
        <v/>
      </c>
      <c r="J88" s="137">
        <f>IF(' جهات'!K356&gt;0,' جهات'!K356,"")</f>
        <v>5000</v>
      </c>
      <c r="K88" s="112" t="str">
        <f t="shared" si="21"/>
        <v/>
      </c>
    </row>
    <row r="89" spans="2:11" ht="14.25" customHeight="1" x14ac:dyDescent="0.2">
      <c r="B89" s="498"/>
      <c r="C89" s="499"/>
      <c r="D89" s="28">
        <v>22601003</v>
      </c>
      <c r="E89" s="175" t="s">
        <v>46</v>
      </c>
      <c r="F89" s="11">
        <f>IF(' جهات'!G183&gt;0,' جهات'!G183,"")</f>
        <v>5000</v>
      </c>
      <c r="G89" s="11">
        <f>IF(' جهات'!H183&gt;0,' جهات'!H183,"")</f>
        <v>5000</v>
      </c>
      <c r="H89" s="11">
        <f>IF(' جهات'!I183&gt;0,' جهات'!I183,"")</f>
        <v>800</v>
      </c>
      <c r="I89" s="11" t="str">
        <f>IF(' جهات'!J183&gt;0,' جهات'!J183,"")</f>
        <v/>
      </c>
      <c r="J89" s="137">
        <f>IF(' جهات'!K183&gt;0,' جهات'!K183,"")</f>
        <v>7000</v>
      </c>
      <c r="K89" s="112">
        <f t="shared" si="21"/>
        <v>1.4</v>
      </c>
    </row>
    <row r="90" spans="2:11" ht="14.25" customHeight="1" x14ac:dyDescent="0.2">
      <c r="B90" s="498"/>
      <c r="C90" s="499"/>
      <c r="D90" s="28">
        <v>22601006</v>
      </c>
      <c r="E90" s="175" t="s">
        <v>251</v>
      </c>
      <c r="F90" s="11">
        <f>IF(' جهات'!G184&gt;0,' جهات'!G184,"")</f>
        <v>15000</v>
      </c>
      <c r="G90" s="11">
        <f>IF(' جهات'!H184&gt;0,' جهات'!H184,"")</f>
        <v>15000</v>
      </c>
      <c r="H90" s="11" t="str">
        <f>IF(' جهات'!I184&gt;0,' جهات'!I184,"")</f>
        <v/>
      </c>
      <c r="I90" s="11" t="str">
        <f>IF(' جهات'!J184&gt;0,' جهات'!J184,"")</f>
        <v/>
      </c>
      <c r="J90" s="137">
        <f>IF(' جهات'!K184&gt;0,' جهات'!K184,"")</f>
        <v>15000</v>
      </c>
      <c r="K90" s="112">
        <f t="shared" si="21"/>
        <v>1</v>
      </c>
    </row>
    <row r="91" spans="2:11" ht="14.25" customHeight="1" x14ac:dyDescent="0.2">
      <c r="B91" s="498"/>
      <c r="C91" s="499"/>
      <c r="D91" s="29">
        <v>22601009</v>
      </c>
      <c r="E91" s="177" t="s">
        <v>47</v>
      </c>
      <c r="F91" s="11">
        <f>IF(' جهات'!G185&gt;0,' جهات'!G185,"")</f>
        <v>5000</v>
      </c>
      <c r="G91" s="11">
        <f>IF(' جهات'!H185&gt;0,' جهات'!H185,"")</f>
        <v>5000</v>
      </c>
      <c r="H91" s="11">
        <f>IF(' جهات'!I185&gt;0,' جهات'!I185,"")</f>
        <v>1024.1669999999999</v>
      </c>
      <c r="I91" s="11">
        <f>IF(' جهات'!J185&gt;0,' جهات'!J185,"")</f>
        <v>105.789</v>
      </c>
      <c r="J91" s="137">
        <f>IF(' جهات'!K185&gt;0,' جهات'!K185,"")</f>
        <v>5000</v>
      </c>
      <c r="K91" s="112">
        <f t="shared" si="21"/>
        <v>1</v>
      </c>
    </row>
    <row r="92" spans="2:11" x14ac:dyDescent="0.2">
      <c r="B92" s="498"/>
      <c r="C92" s="497" t="s">
        <v>23</v>
      </c>
      <c r="D92" s="497"/>
      <c r="E92" s="497"/>
      <c r="F92" s="149">
        <f>SUM(F87:F91)</f>
        <v>66000</v>
      </c>
      <c r="G92" s="149">
        <f>SUM(G87:G91)</f>
        <v>65800</v>
      </c>
      <c r="H92" s="149">
        <f>SUM(H87:H91)</f>
        <v>15893.367</v>
      </c>
      <c r="I92" s="149">
        <f t="shared" ref="I92:J92" si="22">SUM(I87:I91)</f>
        <v>1969.789</v>
      </c>
      <c r="J92" s="149">
        <f t="shared" si="22"/>
        <v>69000</v>
      </c>
      <c r="K92" s="112">
        <f t="shared" si="21"/>
        <v>1.0454545454545454</v>
      </c>
    </row>
    <row r="93" spans="2:11" x14ac:dyDescent="0.2">
      <c r="B93" s="498"/>
      <c r="C93" s="500" t="s">
        <v>116</v>
      </c>
      <c r="D93" s="500"/>
      <c r="E93" s="500"/>
      <c r="F93" s="500"/>
      <c r="G93" s="500"/>
      <c r="H93" s="500"/>
      <c r="I93" s="500"/>
      <c r="J93" s="500"/>
      <c r="K93" s="501"/>
    </row>
    <row r="94" spans="2:11" ht="14.25" customHeight="1" x14ac:dyDescent="0.2">
      <c r="B94" s="498"/>
      <c r="C94" s="299">
        <v>2</v>
      </c>
      <c r="D94" s="28">
        <v>22602001</v>
      </c>
      <c r="E94" s="175" t="s">
        <v>48</v>
      </c>
      <c r="F94" s="11">
        <f>IF(' جهات'!G186&gt;0,' جهات'!G186,"")</f>
        <v>30000</v>
      </c>
      <c r="G94" s="11">
        <f>IF(' جهات'!H186&gt;0,' جهات'!H186,"")</f>
        <v>30000</v>
      </c>
      <c r="H94" s="11">
        <f>IF(' جهات'!I186&gt;0,' جهات'!I186,"")</f>
        <v>30000</v>
      </c>
      <c r="I94" s="11" t="str">
        <f>IF(' جهات'!J186&gt;0,' جهات'!J186,"")</f>
        <v/>
      </c>
      <c r="J94" s="137">
        <f>IF(' جهات'!K186&gt;0,' جهات'!K186,"")</f>
        <v>100000</v>
      </c>
      <c r="K94" s="112">
        <f>IFERROR(J94/F94,"")</f>
        <v>3.3333333333333335</v>
      </c>
    </row>
    <row r="95" spans="2:11" x14ac:dyDescent="0.2">
      <c r="B95" s="498"/>
      <c r="C95" s="497" t="s">
        <v>23</v>
      </c>
      <c r="D95" s="497"/>
      <c r="E95" s="497"/>
      <c r="F95" s="149">
        <f>SUM(F94)</f>
        <v>30000</v>
      </c>
      <c r="G95" s="149">
        <f t="shared" ref="G95:J95" si="23">SUM(G94)</f>
        <v>30000</v>
      </c>
      <c r="H95" s="149">
        <f t="shared" si="23"/>
        <v>30000</v>
      </c>
      <c r="I95" s="149">
        <f t="shared" si="23"/>
        <v>0</v>
      </c>
      <c r="J95" s="149">
        <f t="shared" si="23"/>
        <v>100000</v>
      </c>
      <c r="K95" s="112">
        <f>IFERROR(J95/F95,"")</f>
        <v>3.3333333333333335</v>
      </c>
    </row>
    <row r="96" spans="2:11" x14ac:dyDescent="0.2">
      <c r="B96" s="498"/>
      <c r="C96" s="500" t="s">
        <v>117</v>
      </c>
      <c r="D96" s="500"/>
      <c r="E96" s="500"/>
      <c r="F96" s="500"/>
      <c r="G96" s="500"/>
      <c r="H96" s="500"/>
      <c r="I96" s="500"/>
      <c r="J96" s="500"/>
      <c r="K96" s="501"/>
    </row>
    <row r="97" spans="2:11" ht="14.25" customHeight="1" x14ac:dyDescent="0.2">
      <c r="B97" s="498"/>
      <c r="C97" s="299">
        <v>3</v>
      </c>
      <c r="D97" s="28">
        <v>22603001</v>
      </c>
      <c r="E97" s="175" t="s">
        <v>49</v>
      </c>
      <c r="F97" s="11">
        <f>IF(' جهات'!G187&gt;0,' جهات'!G187,"")</f>
        <v>70000</v>
      </c>
      <c r="G97" s="11">
        <f>IF(' جهات'!H187&gt;0,' جهات'!H187,"")</f>
        <v>115000</v>
      </c>
      <c r="H97" s="11">
        <f>IF(' جهات'!I187&gt;0,' جهات'!I187,"")</f>
        <v>111649.55</v>
      </c>
      <c r="I97" s="11" t="str">
        <f>IF(' جهات'!J187&gt;0,' جهات'!J187,"")</f>
        <v/>
      </c>
      <c r="J97" s="137">
        <f>IF(' جهات'!K187&gt;0,' جهات'!K187,"")</f>
        <v>120000</v>
      </c>
      <c r="K97" s="112">
        <f>IFERROR(J97/F97,"")</f>
        <v>1.7142857142857142</v>
      </c>
    </row>
    <row r="98" spans="2:11" x14ac:dyDescent="0.2">
      <c r="B98" s="498"/>
      <c r="C98" s="497" t="s">
        <v>23</v>
      </c>
      <c r="D98" s="497"/>
      <c r="E98" s="497"/>
      <c r="F98" s="149">
        <f>SUM(F97)</f>
        <v>70000</v>
      </c>
      <c r="G98" s="149">
        <f t="shared" ref="G98:J98" si="24">SUM(G97)</f>
        <v>115000</v>
      </c>
      <c r="H98" s="149">
        <f t="shared" si="24"/>
        <v>111649.55</v>
      </c>
      <c r="I98" s="149">
        <f t="shared" si="24"/>
        <v>0</v>
      </c>
      <c r="J98" s="149">
        <f t="shared" si="24"/>
        <v>120000</v>
      </c>
      <c r="K98" s="112">
        <f>IFERROR(J98/F98,"")</f>
        <v>1.7142857142857142</v>
      </c>
    </row>
    <row r="99" spans="2:11" x14ac:dyDescent="0.2">
      <c r="B99" s="498"/>
      <c r="C99" s="500" t="s">
        <v>118</v>
      </c>
      <c r="D99" s="500"/>
      <c r="E99" s="500"/>
      <c r="F99" s="500"/>
      <c r="G99" s="500"/>
      <c r="H99" s="500"/>
      <c r="I99" s="500"/>
      <c r="J99" s="500"/>
      <c r="K99" s="501"/>
    </row>
    <row r="100" spans="2:11" ht="14.25" customHeight="1" x14ac:dyDescent="0.2">
      <c r="B100" s="498"/>
      <c r="C100" s="299">
        <v>4</v>
      </c>
      <c r="D100" s="28">
        <v>22604001</v>
      </c>
      <c r="E100" s="175" t="s">
        <v>50</v>
      </c>
      <c r="F100" s="11">
        <f>IF(' جهات'!G188&gt;0,' جهات'!G188,"")</f>
        <v>25000</v>
      </c>
      <c r="G100" s="11">
        <f>IF(' جهات'!H188&gt;0,' جهات'!H188,"")</f>
        <v>25000</v>
      </c>
      <c r="H100" s="11" t="str">
        <f>IF(' جهات'!I188&gt;0,' جهات'!I188,"")</f>
        <v/>
      </c>
      <c r="I100" s="11" t="str">
        <f>IF(' جهات'!J188&gt;0,' جهات'!J188,"")</f>
        <v/>
      </c>
      <c r="J100" s="137">
        <f>IF(' جهات'!K188&gt;0,' جهات'!K188,"")</f>
        <v>25000</v>
      </c>
      <c r="K100" s="112">
        <f>IFERROR(J100/F100,"")</f>
        <v>1</v>
      </c>
    </row>
    <row r="101" spans="2:11" x14ac:dyDescent="0.2">
      <c r="B101" s="498"/>
      <c r="C101" s="497" t="s">
        <v>23</v>
      </c>
      <c r="D101" s="497"/>
      <c r="E101" s="497"/>
      <c r="F101" s="149">
        <f>SUM(F100)</f>
        <v>25000</v>
      </c>
      <c r="G101" s="149">
        <f t="shared" ref="G101:J101" si="25">SUM(G100)</f>
        <v>25000</v>
      </c>
      <c r="H101" s="149">
        <f t="shared" si="25"/>
        <v>0</v>
      </c>
      <c r="I101" s="149">
        <f t="shared" si="25"/>
        <v>0</v>
      </c>
      <c r="J101" s="149">
        <f t="shared" si="25"/>
        <v>25000</v>
      </c>
      <c r="K101" s="112">
        <f>IFERROR(J101/F101,"")</f>
        <v>1</v>
      </c>
    </row>
    <row r="102" spans="2:11" x14ac:dyDescent="0.2">
      <c r="B102" s="498"/>
      <c r="C102" s="500" t="s">
        <v>121</v>
      </c>
      <c r="D102" s="500"/>
      <c r="E102" s="500"/>
      <c r="F102" s="500"/>
      <c r="G102" s="500"/>
      <c r="H102" s="500"/>
      <c r="I102" s="500"/>
      <c r="J102" s="500"/>
      <c r="K102" s="501"/>
    </row>
    <row r="103" spans="2:11" ht="14.25" customHeight="1" x14ac:dyDescent="0.2">
      <c r="B103" s="498"/>
      <c r="C103" s="499">
        <v>5</v>
      </c>
      <c r="D103" s="28">
        <v>22605002</v>
      </c>
      <c r="E103" s="175" t="s">
        <v>51</v>
      </c>
      <c r="F103" s="11">
        <f>IF(' جهات'!G189&gt;0,' جهات'!G189,"")</f>
        <v>15000</v>
      </c>
      <c r="G103" s="11">
        <f>IF(' جهات'!H189&gt;0,' جهات'!H189,"")</f>
        <v>15000</v>
      </c>
      <c r="H103" s="11" t="str">
        <f>IF(' جهات'!I189&gt;0,' جهات'!I189,"")</f>
        <v/>
      </c>
      <c r="I103" s="11">
        <f>IF(' جهات'!J189&gt;0,' جهات'!J189,"")</f>
        <v>10500</v>
      </c>
      <c r="J103" s="137">
        <f>IF(' جهات'!K189&gt;0,' جهات'!K189,"")</f>
        <v>15000</v>
      </c>
      <c r="K103" s="112">
        <f>IFERROR(J103/F103,"")</f>
        <v>1</v>
      </c>
    </row>
    <row r="104" spans="2:11" ht="14.25" customHeight="1" x14ac:dyDescent="0.2">
      <c r="B104" s="498"/>
      <c r="C104" s="499"/>
      <c r="D104" s="28">
        <v>22605003</v>
      </c>
      <c r="E104" s="175" t="s">
        <v>52</v>
      </c>
      <c r="F104" s="11">
        <f>IF(' جهات'!G190&gt;0,' جهات'!G190,"")</f>
        <v>5000</v>
      </c>
      <c r="G104" s="11">
        <f>IF(' جهات'!H190&gt;0,' جهات'!H190,"")</f>
        <v>5000</v>
      </c>
      <c r="H104" s="11" t="str">
        <f>IF(' جهات'!I190&gt;0,' جهات'!I190,"")</f>
        <v/>
      </c>
      <c r="I104" s="11" t="str">
        <f>IF(' جهات'!J190&gt;0,' جهات'!J190,"")</f>
        <v/>
      </c>
      <c r="J104" s="137">
        <f>IF(' جهات'!K190&gt;0,' جهات'!K190,"")</f>
        <v>5000</v>
      </c>
      <c r="K104" s="112">
        <f>IFERROR(J104/F104,"")</f>
        <v>1</v>
      </c>
    </row>
    <row r="105" spans="2:11" x14ac:dyDescent="0.2">
      <c r="B105" s="498"/>
      <c r="C105" s="497" t="s">
        <v>23</v>
      </c>
      <c r="D105" s="497"/>
      <c r="E105" s="497"/>
      <c r="F105" s="149">
        <f>SUM(F103:F104)</f>
        <v>20000</v>
      </c>
      <c r="G105" s="149">
        <f t="shared" ref="G105:J105" si="26">SUM(G103:G104)</f>
        <v>20000</v>
      </c>
      <c r="H105" s="149">
        <f t="shared" si="26"/>
        <v>0</v>
      </c>
      <c r="I105" s="149">
        <f t="shared" si="26"/>
        <v>10500</v>
      </c>
      <c r="J105" s="149">
        <f t="shared" si="26"/>
        <v>20000</v>
      </c>
      <c r="K105" s="112">
        <f>IFERROR(J105/F105,"")</f>
        <v>1</v>
      </c>
    </row>
    <row r="106" spans="2:11" x14ac:dyDescent="0.2">
      <c r="B106" s="498"/>
      <c r="C106" s="520" t="s">
        <v>562</v>
      </c>
      <c r="D106" s="520"/>
      <c r="E106" s="520"/>
      <c r="F106" s="520"/>
      <c r="G106" s="520"/>
      <c r="H106" s="520"/>
      <c r="I106" s="520"/>
      <c r="J106" s="520"/>
      <c r="K106" s="521"/>
    </row>
    <row r="107" spans="2:11" ht="14.25" customHeight="1" x14ac:dyDescent="0.2">
      <c r="B107" s="498"/>
      <c r="C107" s="520"/>
      <c r="D107" s="520"/>
      <c r="E107" s="520"/>
      <c r="F107" s="520"/>
      <c r="G107" s="520"/>
      <c r="H107" s="520"/>
      <c r="I107" s="520"/>
      <c r="J107" s="520"/>
      <c r="K107" s="521"/>
    </row>
    <row r="108" spans="2:11" ht="14.25" customHeight="1" x14ac:dyDescent="0.2">
      <c r="B108" s="498"/>
      <c r="C108" s="520"/>
      <c r="D108" s="520"/>
      <c r="E108" s="520"/>
      <c r="F108" s="520"/>
      <c r="G108" s="520"/>
      <c r="H108" s="520"/>
      <c r="I108" s="520"/>
      <c r="J108" s="520"/>
      <c r="K108" s="521"/>
    </row>
    <row r="109" spans="2:11" ht="14.25" customHeight="1" x14ac:dyDescent="0.2">
      <c r="B109" s="498"/>
      <c r="C109" s="520"/>
      <c r="D109" s="520"/>
      <c r="E109" s="520"/>
      <c r="F109" s="520"/>
      <c r="G109" s="520"/>
      <c r="H109" s="520"/>
      <c r="I109" s="520"/>
      <c r="J109" s="520"/>
      <c r="K109" s="521"/>
    </row>
    <row r="110" spans="2:11" ht="14.25" customHeight="1" x14ac:dyDescent="0.2">
      <c r="B110" s="498"/>
      <c r="C110" s="520"/>
      <c r="D110" s="520"/>
      <c r="E110" s="520"/>
      <c r="F110" s="520"/>
      <c r="G110" s="520"/>
      <c r="H110" s="520"/>
      <c r="I110" s="520"/>
      <c r="J110" s="520"/>
      <c r="K110" s="521"/>
    </row>
    <row r="111" spans="2:11" ht="14.25" customHeight="1" x14ac:dyDescent="0.2">
      <c r="B111" s="498"/>
      <c r="C111" s="520"/>
      <c r="D111" s="520"/>
      <c r="E111" s="520"/>
      <c r="F111" s="520"/>
      <c r="G111" s="520"/>
      <c r="H111" s="520"/>
      <c r="I111" s="520"/>
      <c r="J111" s="520"/>
      <c r="K111" s="521"/>
    </row>
    <row r="112" spans="2:11" x14ac:dyDescent="0.2">
      <c r="B112" s="498"/>
      <c r="C112" s="520"/>
      <c r="D112" s="520"/>
      <c r="E112" s="520"/>
      <c r="F112" s="520"/>
      <c r="G112" s="520"/>
      <c r="H112" s="520"/>
      <c r="I112" s="520"/>
      <c r="J112" s="520"/>
      <c r="K112" s="521"/>
    </row>
    <row r="113" spans="2:11" x14ac:dyDescent="0.2">
      <c r="B113" s="498"/>
      <c r="C113" s="500" t="s">
        <v>55</v>
      </c>
      <c r="D113" s="500"/>
      <c r="E113" s="500"/>
      <c r="F113" s="500"/>
      <c r="G113" s="500"/>
      <c r="H113" s="500"/>
      <c r="I113" s="500"/>
      <c r="J113" s="500"/>
      <c r="K113" s="501"/>
    </row>
    <row r="114" spans="2:11" ht="14.25" customHeight="1" x14ac:dyDescent="0.2">
      <c r="B114" s="498"/>
      <c r="C114" s="299">
        <v>7</v>
      </c>
      <c r="D114" s="28">
        <v>22607001</v>
      </c>
      <c r="E114" s="175" t="s">
        <v>55</v>
      </c>
      <c r="F114" s="11">
        <f>IF(' جهات'!G191&gt;0,' جهات'!G191,"")</f>
        <v>2000</v>
      </c>
      <c r="G114" s="11">
        <f>IF(' جهات'!H191&gt;0,' جهات'!H191,"")</f>
        <v>2000</v>
      </c>
      <c r="H114" s="11" t="str">
        <f>IF(' جهات'!I191&gt;0,' جهات'!I191,"")</f>
        <v/>
      </c>
      <c r="I114" s="11" t="str">
        <f>IF(' جهات'!J191&gt;0,' جهات'!J191,"")</f>
        <v/>
      </c>
      <c r="J114" s="137">
        <f>IF(' جهات'!K191&gt;0,' جهات'!K191,"")</f>
        <v>2000</v>
      </c>
      <c r="K114" s="112">
        <f>IFERROR(J114/F114,"")</f>
        <v>1</v>
      </c>
    </row>
    <row r="115" spans="2:11" x14ac:dyDescent="0.2">
      <c r="B115" s="498"/>
      <c r="C115" s="497" t="s">
        <v>23</v>
      </c>
      <c r="D115" s="497"/>
      <c r="E115" s="497"/>
      <c r="F115" s="149">
        <f>SUM(F114)</f>
        <v>2000</v>
      </c>
      <c r="G115" s="149">
        <f t="shared" ref="G115:J115" si="27">SUM(G114)</f>
        <v>2000</v>
      </c>
      <c r="H115" s="149">
        <f t="shared" si="27"/>
        <v>0</v>
      </c>
      <c r="I115" s="149">
        <f t="shared" si="27"/>
        <v>0</v>
      </c>
      <c r="J115" s="149">
        <f t="shared" si="27"/>
        <v>2000</v>
      </c>
      <c r="K115" s="112">
        <f>IFERROR(J115/F115,"")</f>
        <v>1</v>
      </c>
    </row>
    <row r="116" spans="2:11" x14ac:dyDescent="0.2">
      <c r="B116" s="498"/>
      <c r="C116" s="500" t="s">
        <v>56</v>
      </c>
      <c r="D116" s="500"/>
      <c r="E116" s="500"/>
      <c r="F116" s="500"/>
      <c r="G116" s="500"/>
      <c r="H116" s="500"/>
      <c r="I116" s="500"/>
      <c r="J116" s="500"/>
      <c r="K116" s="501"/>
    </row>
    <row r="117" spans="2:11" ht="14.25" customHeight="1" x14ac:dyDescent="0.2">
      <c r="B117" s="498"/>
      <c r="C117" s="299">
        <v>8</v>
      </c>
      <c r="D117" s="28">
        <v>22608001</v>
      </c>
      <c r="E117" s="175" t="s">
        <v>56</v>
      </c>
      <c r="F117" s="11">
        <f>IF(' جهات'!G373&gt;0,' جهات'!G373,"")</f>
        <v>90000</v>
      </c>
      <c r="G117" s="11">
        <f>IF(' جهات'!H373&gt;0,' جهات'!H373,"")</f>
        <v>45000</v>
      </c>
      <c r="H117" s="11">
        <f>IF(' جهات'!I373&gt;0,' جهات'!I373,"")</f>
        <v>11700</v>
      </c>
      <c r="I117" s="11" t="str">
        <f>IF(' جهات'!J373&gt;0,' جهات'!J373,"")</f>
        <v/>
      </c>
      <c r="J117" s="137">
        <f>IF(' جهات'!K373&gt;0,' جهات'!K373,"")</f>
        <v>90000</v>
      </c>
      <c r="K117" s="112">
        <f>IFERROR(J117/F117,"")</f>
        <v>1</v>
      </c>
    </row>
    <row r="118" spans="2:11" x14ac:dyDescent="0.2">
      <c r="B118" s="498"/>
      <c r="C118" s="497" t="s">
        <v>23</v>
      </c>
      <c r="D118" s="497"/>
      <c r="E118" s="497"/>
      <c r="F118" s="149">
        <f>SUM(F117)</f>
        <v>90000</v>
      </c>
      <c r="G118" s="149">
        <f t="shared" ref="G118:J118" si="28">SUM(G117)</f>
        <v>45000</v>
      </c>
      <c r="H118" s="149">
        <f t="shared" si="28"/>
        <v>11700</v>
      </c>
      <c r="I118" s="149">
        <f t="shared" si="28"/>
        <v>0</v>
      </c>
      <c r="J118" s="149">
        <f t="shared" si="28"/>
        <v>90000</v>
      </c>
      <c r="K118" s="112">
        <f>IFERROR(J118/F118,"")</f>
        <v>1</v>
      </c>
    </row>
    <row r="119" spans="2:11" x14ac:dyDescent="0.2">
      <c r="B119" s="498"/>
      <c r="C119" s="500" t="s">
        <v>282</v>
      </c>
      <c r="D119" s="500"/>
      <c r="E119" s="500"/>
      <c r="F119" s="500"/>
      <c r="G119" s="500"/>
      <c r="H119" s="500"/>
      <c r="I119" s="500"/>
      <c r="J119" s="500"/>
      <c r="K119" s="501"/>
    </row>
    <row r="120" spans="2:11" x14ac:dyDescent="0.2">
      <c r="B120" s="498"/>
      <c r="C120" s="299">
        <v>9</v>
      </c>
      <c r="D120" s="29">
        <v>22609001</v>
      </c>
      <c r="E120" s="177" t="s">
        <v>282</v>
      </c>
      <c r="F120" s="11">
        <f>IF(' جهات'!G192&gt;0,' جهات'!G192,"")</f>
        <v>5000</v>
      </c>
      <c r="G120" s="11">
        <f>IF(' جهات'!H192&gt;0,' جهات'!H192,"")</f>
        <v>5000</v>
      </c>
      <c r="H120" s="11" t="str">
        <f>IF(' جهات'!I192&gt;0,' جهات'!I192,"")</f>
        <v/>
      </c>
      <c r="I120" s="11" t="str">
        <f>IF(' جهات'!J192&gt;0,' جهات'!J192,"")</f>
        <v/>
      </c>
      <c r="J120" s="137">
        <f>IF(' جهات'!K192&gt;0,' جهات'!K192,"")</f>
        <v>5000</v>
      </c>
      <c r="K120" s="112">
        <f>IFERROR(J120/F120,"")</f>
        <v>1</v>
      </c>
    </row>
    <row r="121" spans="2:11" x14ac:dyDescent="0.2">
      <c r="B121" s="498"/>
      <c r="C121" s="497" t="s">
        <v>23</v>
      </c>
      <c r="D121" s="497"/>
      <c r="E121" s="497"/>
      <c r="F121" s="149">
        <f>SUM(F120)</f>
        <v>5000</v>
      </c>
      <c r="G121" s="149">
        <f t="shared" ref="G121:J121" si="29">SUM(G120)</f>
        <v>5000</v>
      </c>
      <c r="H121" s="149">
        <f t="shared" si="29"/>
        <v>0</v>
      </c>
      <c r="I121" s="149">
        <f t="shared" si="29"/>
        <v>0</v>
      </c>
      <c r="J121" s="149">
        <f t="shared" si="29"/>
        <v>5000</v>
      </c>
      <c r="K121" s="112">
        <f>IFERROR(J121/F121,"")</f>
        <v>1</v>
      </c>
    </row>
    <row r="122" spans="2:11" x14ac:dyDescent="0.2">
      <c r="B122" s="432" t="s">
        <v>122</v>
      </c>
      <c r="C122" s="433"/>
      <c r="D122" s="433"/>
      <c r="E122" s="433"/>
      <c r="F122" s="150">
        <f>F92+F95+F98+F101+F105+F115+F118+F121</f>
        <v>308000</v>
      </c>
      <c r="G122" s="150">
        <f t="shared" ref="G122:J122" si="30">G92+G95+G98+G101+G105+G115+G118+G121</f>
        <v>307800</v>
      </c>
      <c r="H122" s="150">
        <f t="shared" si="30"/>
        <v>169242.91700000002</v>
      </c>
      <c r="I122" s="150">
        <f t="shared" si="30"/>
        <v>12469.789000000001</v>
      </c>
      <c r="J122" s="150">
        <f t="shared" si="30"/>
        <v>431000</v>
      </c>
      <c r="K122" s="112">
        <f>IFERROR(J122/F122,"")</f>
        <v>1.3993506493506493</v>
      </c>
    </row>
    <row r="123" spans="2:11" x14ac:dyDescent="0.2">
      <c r="B123" s="468" t="s">
        <v>259</v>
      </c>
      <c r="C123" s="469"/>
      <c r="D123" s="469"/>
      <c r="E123" s="469"/>
      <c r="F123" s="469"/>
      <c r="G123" s="469"/>
      <c r="H123" s="469"/>
      <c r="I123" s="469"/>
      <c r="J123" s="469"/>
      <c r="K123" s="470"/>
    </row>
    <row r="124" spans="2:11" x14ac:dyDescent="0.2">
      <c r="B124" s="498">
        <v>36</v>
      </c>
      <c r="C124" s="500" t="s">
        <v>123</v>
      </c>
      <c r="D124" s="500"/>
      <c r="E124" s="500"/>
      <c r="F124" s="500"/>
      <c r="G124" s="500"/>
      <c r="H124" s="500"/>
      <c r="I124" s="500"/>
      <c r="J124" s="500"/>
      <c r="K124" s="501"/>
    </row>
    <row r="125" spans="2:11" ht="14.25" customHeight="1" x14ac:dyDescent="0.2">
      <c r="B125" s="498"/>
      <c r="C125" s="499">
        <v>1</v>
      </c>
      <c r="D125" s="28">
        <v>23601001</v>
      </c>
      <c r="E125" s="175" t="s">
        <v>57</v>
      </c>
      <c r="F125" s="11">
        <f>IF(' جهات'!G425&gt;0,' جهات'!G425,"")</f>
        <v>350000</v>
      </c>
      <c r="G125" s="11">
        <f>IF(' جهات'!H425&gt;0,' جهات'!H425,"")</f>
        <v>350000</v>
      </c>
      <c r="H125" s="11">
        <f>IF(' جهات'!I425&gt;0,' جهات'!I425,"")</f>
        <v>276111.33799999999</v>
      </c>
      <c r="I125" s="11" t="str">
        <f>IF(' جهات'!J425&gt;0,' جهات'!J425,"")</f>
        <v/>
      </c>
      <c r="J125" s="137">
        <f>IF(' جهات'!K425&gt;0,' جهات'!K425,"")</f>
        <v>200000</v>
      </c>
      <c r="K125" s="112">
        <f t="shared" ref="K125:K132" si="31">IFERROR(J125/F125,"")</f>
        <v>0.5714285714285714</v>
      </c>
    </row>
    <row r="126" spans="2:11" ht="14.25" customHeight="1" x14ac:dyDescent="0.2">
      <c r="B126" s="498"/>
      <c r="C126" s="499"/>
      <c r="D126" s="28">
        <v>23601002</v>
      </c>
      <c r="E126" s="175" t="s">
        <v>58</v>
      </c>
      <c r="F126" s="11">
        <f>IF(' جهات'!G426&gt;0,' جهات'!G426,"")</f>
        <v>300000</v>
      </c>
      <c r="G126" s="11">
        <f>IF(' جهات'!H426&gt;0,' جهات'!H426,"")</f>
        <v>200000</v>
      </c>
      <c r="H126" s="11">
        <f>IF(' جهات'!I426&gt;0,' جهات'!I426,"")</f>
        <v>132905.304</v>
      </c>
      <c r="I126" s="11" t="str">
        <f>IF(' جهات'!J426&gt;0,' جهات'!J426,"")</f>
        <v/>
      </c>
      <c r="J126" s="137">
        <f>IF(' جهات'!K426&gt;0,' جهات'!K426,"")</f>
        <v>150000</v>
      </c>
      <c r="K126" s="112">
        <f t="shared" si="31"/>
        <v>0.5</v>
      </c>
    </row>
    <row r="127" spans="2:11" ht="14.25" customHeight="1" x14ac:dyDescent="0.2">
      <c r="B127" s="498"/>
      <c r="C127" s="499"/>
      <c r="D127" s="28">
        <v>23601003</v>
      </c>
      <c r="E127" s="175" t="s">
        <v>59</v>
      </c>
      <c r="F127" s="11">
        <f>IF(' جهات'!G427&gt;0,' جهات'!G427,"")</f>
        <v>300000</v>
      </c>
      <c r="G127" s="11">
        <f>IF(' جهات'!H427&gt;0,' جهات'!H427,"")</f>
        <v>300000</v>
      </c>
      <c r="H127" s="11">
        <f>IF(' جهات'!I427&gt;0,' جهات'!I427,"")</f>
        <v>120190</v>
      </c>
      <c r="I127" s="11">
        <f>IF(' جهات'!J427&gt;0,' جهات'!J427,"")</f>
        <v>179810</v>
      </c>
      <c r="J127" s="137">
        <f>IF(' جهات'!K427&gt;0,' جهات'!K427,"")</f>
        <v>500000</v>
      </c>
      <c r="K127" s="112">
        <f t="shared" si="31"/>
        <v>1.6666666666666667</v>
      </c>
    </row>
    <row r="128" spans="2:11" ht="14.25" customHeight="1" x14ac:dyDescent="0.2">
      <c r="B128" s="498"/>
      <c r="C128" s="499"/>
      <c r="D128" s="28">
        <v>23601004</v>
      </c>
      <c r="E128" s="175" t="s">
        <v>60</v>
      </c>
      <c r="F128" s="11">
        <f>IF(' جهات'!G428&gt;0,' جهات'!G428,"")</f>
        <v>15000</v>
      </c>
      <c r="G128" s="11">
        <f>IF(' جهات'!H428&gt;0,' جهات'!H428,"")</f>
        <v>15000</v>
      </c>
      <c r="H128" s="11">
        <f>IF(' جهات'!I428&gt;0,' جهات'!I428,"")</f>
        <v>994.14</v>
      </c>
      <c r="I128" s="11">
        <f>IF(' جهات'!J428&gt;0,' جهات'!J428,"")</f>
        <v>6152.02</v>
      </c>
      <c r="J128" s="137">
        <f>IF(' جهات'!K428&gt;0,' جهات'!K428,"")</f>
        <v>15000</v>
      </c>
      <c r="K128" s="112">
        <f t="shared" si="31"/>
        <v>1</v>
      </c>
    </row>
    <row r="129" spans="2:11" ht="14.25" customHeight="1" x14ac:dyDescent="0.2">
      <c r="B129" s="498"/>
      <c r="C129" s="499"/>
      <c r="D129" s="28">
        <v>23601005</v>
      </c>
      <c r="E129" s="175" t="s">
        <v>61</v>
      </c>
      <c r="F129" s="11">
        <f>IF(' جهات'!G429&gt;0,' جهات'!G429,"")</f>
        <v>5000</v>
      </c>
      <c r="G129" s="11">
        <f>IF(' جهات'!H429&gt;0,' جهات'!H429,"")</f>
        <v>5000</v>
      </c>
      <c r="H129" s="11" t="str">
        <f>IF(' جهات'!I429&gt;0,' جهات'!I429,"")</f>
        <v/>
      </c>
      <c r="I129" s="11" t="str">
        <f>IF(' جهات'!J429&gt;0,' جهات'!J429,"")</f>
        <v/>
      </c>
      <c r="J129" s="137">
        <f>IF(' جهات'!K429&gt;0,' جهات'!K429,"")</f>
        <v>5000</v>
      </c>
      <c r="K129" s="112">
        <f t="shared" si="31"/>
        <v>1</v>
      </c>
    </row>
    <row r="130" spans="2:11" ht="14.25" customHeight="1" x14ac:dyDescent="0.2">
      <c r="B130" s="498"/>
      <c r="C130" s="499"/>
      <c r="D130" s="28">
        <v>23601006</v>
      </c>
      <c r="E130" s="175" t="s">
        <v>62</v>
      </c>
      <c r="F130" s="11">
        <f>IF(' جهات'!G430&gt;0,' جهات'!G430,"")</f>
        <v>10000</v>
      </c>
      <c r="G130" s="11">
        <f>IF(' جهات'!H430&gt;0,' جهات'!H430,"")</f>
        <v>12000</v>
      </c>
      <c r="H130" s="11">
        <f>IF(' جهات'!I430&gt;0,' جهات'!I430,"")</f>
        <v>3279.8380000000002</v>
      </c>
      <c r="I130" s="11">
        <f>IF(' جهات'!J430&gt;0,' جهات'!J430,"")</f>
        <v>5839.942</v>
      </c>
      <c r="J130" s="137">
        <f>IF(' جهات'!K430&gt;0,' جهات'!K430,"")</f>
        <v>10000</v>
      </c>
      <c r="K130" s="112">
        <f t="shared" si="31"/>
        <v>1</v>
      </c>
    </row>
    <row r="131" spans="2:11" ht="14.25" customHeight="1" x14ac:dyDescent="0.2">
      <c r="B131" s="498"/>
      <c r="C131" s="499"/>
      <c r="D131" s="28">
        <v>23601007</v>
      </c>
      <c r="E131" s="175" t="s">
        <v>63</v>
      </c>
      <c r="F131" s="11">
        <f>IF(' جهات'!G431&gt;0,' جهات'!G431,"")</f>
        <v>25000</v>
      </c>
      <c r="G131" s="11">
        <f>IF(' جهات'!H431&gt;0,' جهات'!H431,"")</f>
        <v>23000</v>
      </c>
      <c r="H131" s="11">
        <f>IF(' جهات'!I431&gt;0,' جهات'!I431,"")</f>
        <v>14289.664000000001</v>
      </c>
      <c r="I131" s="11" t="str">
        <f>IF(' جهات'!J431&gt;0,' جهات'!J431,"")</f>
        <v/>
      </c>
      <c r="J131" s="137">
        <f>IF(' جهات'!K431&gt;0,' جهات'!K431,"")</f>
        <v>20000</v>
      </c>
      <c r="K131" s="112">
        <f t="shared" si="31"/>
        <v>0.8</v>
      </c>
    </row>
    <row r="132" spans="2:11" x14ac:dyDescent="0.2">
      <c r="B132" s="498"/>
      <c r="C132" s="497" t="s">
        <v>23</v>
      </c>
      <c r="D132" s="497"/>
      <c r="E132" s="497"/>
      <c r="F132" s="149">
        <f>SUM(F125:F131)</f>
        <v>1005000</v>
      </c>
      <c r="G132" s="149">
        <f t="shared" ref="G132:I132" si="32">SUM(G125:G131)</f>
        <v>905000</v>
      </c>
      <c r="H132" s="149">
        <f>SUM(H125:H131)</f>
        <v>547770.28399999999</v>
      </c>
      <c r="I132" s="149">
        <f t="shared" si="32"/>
        <v>191801.962</v>
      </c>
      <c r="J132" s="149">
        <f>SUM(J125:J131)</f>
        <v>900000</v>
      </c>
      <c r="K132" s="112">
        <f t="shared" si="31"/>
        <v>0.89552238805970152</v>
      </c>
    </row>
    <row r="133" spans="2:11" x14ac:dyDescent="0.2">
      <c r="B133" s="498"/>
      <c r="C133" s="500" t="s">
        <v>124</v>
      </c>
      <c r="D133" s="500"/>
      <c r="E133" s="500"/>
      <c r="F133" s="500"/>
      <c r="G133" s="500"/>
      <c r="H133" s="500"/>
      <c r="I133" s="500"/>
      <c r="J133" s="500"/>
      <c r="K133" s="501"/>
    </row>
    <row r="134" spans="2:11" ht="14.25" customHeight="1" x14ac:dyDescent="0.2">
      <c r="B134" s="498"/>
      <c r="C134" s="499">
        <v>2</v>
      </c>
      <c r="D134" s="28">
        <v>23602001</v>
      </c>
      <c r="E134" s="175" t="s">
        <v>64</v>
      </c>
      <c r="F134" s="11">
        <f>IF(' جهات'!G432&gt;0,' جهات'!G432,"")</f>
        <v>50000</v>
      </c>
      <c r="G134" s="11">
        <f>IF(' جهات'!H432&gt;0,' جهات'!H432,"")</f>
        <v>50000</v>
      </c>
      <c r="H134" s="11" t="str">
        <f>IF(' جهات'!I432&gt;0,' جهات'!I432,"")</f>
        <v/>
      </c>
      <c r="I134" s="11" t="str">
        <f>IF(' جهات'!J432&gt;0,' جهات'!J432,"")</f>
        <v/>
      </c>
      <c r="J134" s="137">
        <f>IF(' جهات'!K432&gt;0,' جهات'!K432,"")</f>
        <v>50000</v>
      </c>
      <c r="K134" s="112">
        <f>IFERROR(J134/F134,"")</f>
        <v>1</v>
      </c>
    </row>
    <row r="135" spans="2:11" ht="14.25" customHeight="1" x14ac:dyDescent="0.2">
      <c r="B135" s="498"/>
      <c r="C135" s="499"/>
      <c r="D135" s="28">
        <v>23602002</v>
      </c>
      <c r="E135" s="175" t="s">
        <v>65</v>
      </c>
      <c r="F135" s="11">
        <f>IF(' جهات'!G433&gt;0,' جهات'!G433,"")</f>
        <v>1000</v>
      </c>
      <c r="G135" s="11">
        <f>IF(' جهات'!H433&gt;0,' جهات'!H433,"")</f>
        <v>1000</v>
      </c>
      <c r="H135" s="11" t="str">
        <f>IF(' جهات'!I433&gt;0,' جهات'!I433,"")</f>
        <v/>
      </c>
      <c r="I135" s="11" t="str">
        <f>IF(' جهات'!J433&gt;0,' جهات'!J433,"")</f>
        <v/>
      </c>
      <c r="J135" s="137">
        <f>IF(' جهات'!K433&gt;0,' جهات'!K433,"")</f>
        <v>1000</v>
      </c>
      <c r="K135" s="112">
        <f>IFERROR(J135/F135,"")</f>
        <v>1</v>
      </c>
    </row>
    <row r="136" spans="2:11" ht="14.25" customHeight="1" x14ac:dyDescent="0.2">
      <c r="B136" s="498"/>
      <c r="C136" s="499"/>
      <c r="D136" s="28">
        <v>23602003</v>
      </c>
      <c r="E136" s="175" t="s">
        <v>66</v>
      </c>
      <c r="F136" s="11">
        <f>IF(' جهات'!G434&gt;0,' جهات'!G434,"")</f>
        <v>1500</v>
      </c>
      <c r="G136" s="11">
        <f>IF(' جهات'!H434&gt;0,' جهات'!H434,"")</f>
        <v>16500</v>
      </c>
      <c r="H136" s="11">
        <f>IF(' جهات'!I434&gt;0,' جهات'!I434,"")</f>
        <v>15890.88</v>
      </c>
      <c r="I136" s="11">
        <f>IF(' جهات'!J434&gt;0,' جهات'!J434,"")</f>
        <v>1.66</v>
      </c>
      <c r="J136" s="137">
        <f>IF(' جهات'!K434&gt;0,' جهات'!K434,"")</f>
        <v>5000</v>
      </c>
      <c r="K136" s="112">
        <f>IFERROR(J136/F136,"")</f>
        <v>3.3333333333333335</v>
      </c>
    </row>
    <row r="137" spans="2:11" x14ac:dyDescent="0.2">
      <c r="B137" s="498"/>
      <c r="C137" s="497" t="s">
        <v>23</v>
      </c>
      <c r="D137" s="497"/>
      <c r="E137" s="497"/>
      <c r="F137" s="149">
        <f>SUM(F134:F136)</f>
        <v>52500</v>
      </c>
      <c r="G137" s="149">
        <f>SUM(G134:G136)</f>
        <v>67500</v>
      </c>
      <c r="H137" s="149">
        <f>SUM(H134:H136)</f>
        <v>15890.88</v>
      </c>
      <c r="I137" s="149">
        <f t="shared" ref="I137" si="33">SUM(I134:I136)</f>
        <v>1.66</v>
      </c>
      <c r="J137" s="149">
        <f>SUM(J134:J136)</f>
        <v>56000</v>
      </c>
      <c r="K137" s="112">
        <f>IFERROR(J137/F137,"")</f>
        <v>1.0666666666666667</v>
      </c>
    </row>
    <row r="138" spans="2:11" x14ac:dyDescent="0.2">
      <c r="B138" s="498"/>
      <c r="C138" s="500" t="s">
        <v>125</v>
      </c>
      <c r="D138" s="500"/>
      <c r="E138" s="500"/>
      <c r="F138" s="500"/>
      <c r="G138" s="500"/>
      <c r="H138" s="500"/>
      <c r="I138" s="500"/>
      <c r="J138" s="500"/>
      <c r="K138" s="501"/>
    </row>
    <row r="139" spans="2:11" ht="14.25" customHeight="1" x14ac:dyDescent="0.2">
      <c r="B139" s="498"/>
      <c r="C139" s="499">
        <v>3</v>
      </c>
      <c r="D139" s="28">
        <v>23603001</v>
      </c>
      <c r="E139" s="175" t="s">
        <v>67</v>
      </c>
      <c r="F139" s="11">
        <f>IF(' جهات'!G6&gt;0,' جهات'!G6,"")</f>
        <v>12000</v>
      </c>
      <c r="G139" s="11">
        <f>IF(' جهات'!H6&gt;0,' جهات'!H6,"")</f>
        <v>12000</v>
      </c>
      <c r="H139" s="11">
        <f>IF(' جهات'!I6&gt;0,' جهات'!I6,"")</f>
        <v>9663.0519999999997</v>
      </c>
      <c r="I139" s="11">
        <f>IF(' جهات'!J6&gt;0,' جهات'!J6,"")</f>
        <v>1050</v>
      </c>
      <c r="J139" s="137">
        <f>IF(' جهات'!K6&gt;0,' جهات'!K6,"")</f>
        <v>12000</v>
      </c>
      <c r="K139" s="112">
        <f>IFERROR(J139/F139,"")</f>
        <v>1</v>
      </c>
    </row>
    <row r="140" spans="2:11" ht="14.25" customHeight="1" x14ac:dyDescent="0.2">
      <c r="B140" s="498"/>
      <c r="C140" s="499"/>
      <c r="D140" s="28">
        <v>23603002</v>
      </c>
      <c r="E140" s="175" t="s">
        <v>68</v>
      </c>
      <c r="F140" s="11">
        <f>IF(' جهات'!G12+' جهات'!G24+' جهات'!G28+' جهات'!G34+' جهات'!G38+' جهات'!G49+' جهات'!G57+' جهات'!G62+' جهات'!G67+' جهات'!G77+' جهات'!G86+' جهات'!G96+' جهات'!G103+' جهات'!G112+' جهات'!G118+' جهات'!G127+' جهات'!G133+' جهات'!G143+' جهات'!G148+' جهات'!G155+' جهات'!G159+' جهات'!G166+' جهات'!G193+' جهات'!G204+' جهات'!G219+' جهات'!G225+' جهات'!G228+' جهات'!G232+' جهات'!G235+' جهات'!G239+' جهات'!G247+' جهات'!G251+' جهات'!G255+' جهات'!G259+' جهات'!G273+' جهات'!G283+' جهات'!G287+' جهات'!G304+' جهات'!G324+' جهات'!G341+' جهات'!G355+' جهات'!G361+' جهات'!G365+' جهات'!G369+' جهات'!G374+' جهات'!G380+' جهات'!G390&gt;0,' جهات'!G12+' جهات'!G24+' جهات'!G28+' جهات'!G34+' جهات'!G38+' جهات'!G49+' جهات'!G57+' جهات'!G62+' جهات'!G67+' جهات'!G77+' جهات'!G86+' جهات'!G96+' جهات'!G103+' جهات'!G112+' جهات'!G118+' جهات'!G127+' جهات'!G133+' جهات'!G143+' جهات'!G148+' جهات'!G155+' جهات'!G159+' جهات'!G166+' جهات'!G193+' جهات'!G204+' جهات'!G219+' جهات'!G225+' جهات'!G228+' جهات'!G232+' جهات'!G235+' جهات'!G239+' جهات'!G247+' جهات'!G251+' جهات'!G255+' جهات'!G259+' جهات'!G273+' جهات'!G283+' جهات'!G287+' جهات'!G304+' جهات'!G324+' جهات'!G341+' جهات'!G355+' جهات'!G361+' جهات'!G365+' جهات'!G369+' جهات'!G374+' جهات'!G380+' جهات'!G390,"")</f>
        <v>4800</v>
      </c>
      <c r="G140" s="11">
        <f>IF(' جهات'!H12+' جهات'!H24+' جهات'!H28+' جهات'!H34+' جهات'!H38+' جهات'!H49+' جهات'!H57+' جهات'!H62+' جهات'!H67+' جهات'!H77+' جهات'!H86+' جهات'!H96+' جهات'!H103+' جهات'!H112+' جهات'!H118+' جهات'!H127+' جهات'!H133+' جهات'!H143+' جهات'!H148+' جهات'!H155+' جهات'!H159+' جهات'!H166+' جهات'!H193+' جهات'!H204+' جهات'!H219+' جهات'!H225+' جهات'!H228+' جهات'!H232+' جهات'!H235+' جهات'!H239+' جهات'!H247+' جهات'!H251+' جهات'!H255+' جهات'!H259+' جهات'!H273+' جهات'!H283+' جهات'!H287+' جهات'!H304+' جهات'!H324+' جهات'!H341+' جهات'!H355+' جهات'!H361+' جهات'!H365+' جهات'!H369+' جهات'!H374+' جهات'!H380+' جهات'!H390&gt;0,' جهات'!H12+' جهات'!H24+' جهات'!H28+' جهات'!H34+' جهات'!H38+' جهات'!H49+' جهات'!H57+' جهات'!H62+' جهات'!H67+' جهات'!H77+' جهات'!H86+' جهات'!H96+' جهات'!H103+' جهات'!H112+' جهات'!H118+' جهات'!H127+' جهات'!H133+' جهات'!H143+' جهات'!H148+' جهات'!H155+' جهات'!H159+' جهات'!H166+' جهات'!H193+' جهات'!H204+' جهات'!H219+' جهات'!H225+' جهات'!H228+' جهات'!H232+' جهات'!H235+' جهات'!H239+' جهات'!H247+' جهات'!H251+' جهات'!H255+' جهات'!H259+' جهات'!H273+' جهات'!H283+' جهات'!H287+' جهات'!H304+' جهات'!H324+' جهات'!H341+' جهات'!H355+' جهات'!H361+' جهات'!H365+' جهات'!H369+' جهات'!H374+' جهات'!H380+' جهات'!H390,"")</f>
        <v>5000</v>
      </c>
      <c r="H140" s="11">
        <f>IF(' جهات'!I12+' جهات'!I24+' جهات'!I28+' جهات'!I34+' جهات'!I38+' جهات'!I49+' جهات'!I57+' جهات'!I62+' جهات'!I67+' جهات'!I77+' جهات'!I86+' جهات'!I96+' جهات'!I103+' جهات'!I112+' جهات'!I118+' جهات'!I127+' جهات'!I133+' جهات'!I143+' جهات'!I148+' جهات'!I155+' جهات'!I159+' جهات'!I166+' جهات'!I193+' جهات'!I204+' جهات'!I219+' جهات'!I225+' جهات'!I228+' جهات'!I232+' جهات'!I235+' جهات'!I239+' جهات'!I247+' جهات'!I251+' جهات'!I255+' جهات'!I259+' جهات'!I273+' جهات'!I283+' جهات'!I287+' جهات'!I304+' جهات'!I324+' جهات'!I341+' جهات'!I355+' جهات'!I361+' جهات'!I365+' جهات'!I369+' جهات'!I374+' جهات'!I380+' جهات'!I390&gt;0,' جهات'!I12+' جهات'!I24+' جهات'!I28+' جهات'!I34+' جهات'!I38+' جهات'!I49+' جهات'!I57+' جهات'!I62+' جهات'!I67+' جهات'!I77+' جهات'!I86+' جهات'!I96+' جهات'!I103+' جهات'!I112+' جهات'!I118+' جهات'!I127+' جهات'!I133+' جهات'!I143+' جهات'!I148+' جهات'!I155+' جهات'!I159+' جهات'!I166+' جهات'!I193+' جهات'!I204+' جهات'!I219+' جهات'!I225+' جهات'!I228+' جهات'!I232+' جهات'!I235+' جهات'!I239+' جهات'!I247+' جهات'!I251+' جهات'!I255+' جهات'!I259+' جهات'!I273+' جهات'!I283+' جهات'!I287+' جهات'!I304+' جهات'!I324+' جهات'!I341+' جهات'!I355+' جهات'!I361+' جهات'!I365+' جهات'!I369+' جهات'!I374+' جهات'!I380+' جهات'!I390,"")</f>
        <v>2849.56</v>
      </c>
      <c r="I140" s="11">
        <f>IF(' جهات'!J12+' جهات'!J24+' جهات'!J28+' جهات'!J34+' جهات'!J38+' جهات'!J49+' جهات'!J57+' جهات'!J62+' جهات'!J67+' جهات'!J77+' جهات'!J86+' جهات'!J96+' جهات'!J103+' جهات'!J112+' جهات'!J118+' جهات'!J127+' جهات'!J133+' جهات'!J143+' جهات'!J148+' جهات'!J155+' جهات'!J159+' جهات'!J166+' جهات'!J193+' جهات'!J204+' جهات'!J219+' جهات'!J225+' جهات'!J228+' جهات'!J232+' جهات'!J235+' جهات'!J239+' جهات'!J247+' جهات'!J251+' جهات'!J255+' جهات'!J259+' جهات'!J273+' جهات'!J283+' جهات'!J287+' جهات'!J304+' جهات'!J324+' جهات'!J341+' جهات'!J355+' جهات'!J361+' جهات'!J365+' جهات'!J369+' جهات'!J374+' جهات'!J380+' جهات'!J390&gt;0,' جهات'!J12+' جهات'!J24+' جهات'!J28+' جهات'!J34+' جهات'!J38+' جهات'!J49+' جهات'!J57+' جهات'!J62+' جهات'!J67+' جهات'!J77+' جهات'!J86+' جهات'!J96+' جهات'!J103+' جهات'!J112+' جهات'!J118+' جهات'!J127+' جهات'!J133+' جهات'!J143+' جهات'!J148+' جهات'!J155+' جهات'!J159+' جهات'!J166+' جهات'!J193+' جهات'!J204+' جهات'!J219+' جهات'!J225+' جهات'!J228+' جهات'!J232+' جهات'!J235+' جهات'!J239+' جهات'!J247+' جهات'!J251+' جهات'!J255+' جهات'!J259+' جهات'!J273+' جهات'!J283+' جهات'!J287+' جهات'!J304+' جهات'!J324+' جهات'!J341+' جهات'!J355+' جهات'!J361+' جهات'!J365+' جهات'!J369+' جهات'!J374+' جهات'!J380+' جهات'!J390,"")</f>
        <v>350.15</v>
      </c>
      <c r="J140" s="137">
        <f>IF(' جهات'!K12+' جهات'!K24+' جهات'!K28+' جهات'!K34+' جهات'!K38+' جهات'!K49+' جهات'!K57+' جهات'!K62+' جهات'!K67+' جهات'!K77+' جهات'!K86+' جهات'!K96+' جهات'!K103+' جهات'!K112+' جهات'!K118+' جهات'!K127+' جهات'!K133+' جهات'!K143+' جهات'!K148+' جهات'!K155+' جهات'!K159+' جهات'!K166+' جهات'!K193+' جهات'!K204+' جهات'!K219+' جهات'!K225+' جهات'!K228+' جهات'!K232+' جهات'!K235+' جهات'!K239+' جهات'!K247+' جهات'!K251+' جهات'!K255+' جهات'!K259+' جهات'!K273+' جهات'!K283+' جهات'!K287+' جهات'!K304+' جهات'!K324+' جهات'!K341+' جهات'!K355+' جهات'!K361+' جهات'!K365+' جهات'!K369+' جهات'!K374+' جهات'!K380+' جهات'!K390&gt;0,' جهات'!K12+' جهات'!K24+' جهات'!K28+' جهات'!K34+' جهات'!K38+' جهات'!K49+' جهات'!K57+' جهات'!K62+' جهات'!K67+' جهات'!K77+' جهات'!K86+' جهات'!K96+' جهات'!K103+' جهات'!K112+' جهات'!K118+' جهات'!K127+' جهات'!K133+' جهات'!K143+' جهات'!K148+' جهات'!K155+' جهات'!K159+' جهات'!K166+' جهات'!K193+' جهات'!K204+' جهات'!K219+' جهات'!K225+' جهات'!K228+' جهات'!K232+' جهات'!K235+' جهات'!K239+' جهات'!K247+' جهات'!K251+' جهات'!K255+' جهات'!K259+' جهات'!K273+' جهات'!K283+' جهات'!K287+' جهات'!K304+' جهات'!K324+' جهات'!K341+' جهات'!K355+' جهات'!K361+' جهات'!K365+' جهات'!K369+' جهات'!K374+' جهات'!K380+' جهات'!K390,"")</f>
        <v>4725</v>
      </c>
      <c r="K140" s="112">
        <f>IFERROR(J140/F140,"")</f>
        <v>0.984375</v>
      </c>
    </row>
    <row r="141" spans="2:11" ht="14.25" customHeight="1" x14ac:dyDescent="0.2">
      <c r="B141" s="498"/>
      <c r="C141" s="499"/>
      <c r="D141" s="28">
        <v>23603004</v>
      </c>
      <c r="E141" s="175" t="s">
        <v>69</v>
      </c>
      <c r="F141" s="11">
        <f>IF(' جهات'!G7&gt;0,' جهات'!G7,"")</f>
        <v>3000</v>
      </c>
      <c r="G141" s="11">
        <f>IF(' جهات'!H7&gt;0,' جهات'!H7,"")</f>
        <v>3000</v>
      </c>
      <c r="H141" s="11">
        <f>IF(' جهات'!I7&gt;0,' جهات'!I7,"")</f>
        <v>1681.2660000000001</v>
      </c>
      <c r="I141" s="11" t="str">
        <f>IF(' جهات'!J7&gt;0,' جهات'!J7,"")</f>
        <v/>
      </c>
      <c r="J141" s="137">
        <f>IF(' جهات'!K7&gt;0,' جهات'!K7,"")</f>
        <v>3000</v>
      </c>
      <c r="K141" s="112">
        <f>IFERROR(J141/F141,"")</f>
        <v>1</v>
      </c>
    </row>
    <row r="142" spans="2:11" x14ac:dyDescent="0.2">
      <c r="B142" s="498"/>
      <c r="C142" s="497" t="s">
        <v>23</v>
      </c>
      <c r="D142" s="497"/>
      <c r="E142" s="497"/>
      <c r="F142" s="149">
        <f>SUM(F139:F141)</f>
        <v>19800</v>
      </c>
      <c r="G142" s="149">
        <f>SUM(G139:G141)</f>
        <v>20000</v>
      </c>
      <c r="H142" s="149">
        <f>SUM(H139:H141)</f>
        <v>14193.877999999999</v>
      </c>
      <c r="I142" s="149">
        <f t="shared" ref="I142" si="34">SUM(I139:I141)</f>
        <v>1400.15</v>
      </c>
      <c r="J142" s="149">
        <f>SUM(J139:J141)</f>
        <v>19725</v>
      </c>
      <c r="K142" s="112">
        <f>IFERROR(J142/F142,"")</f>
        <v>0.99621212121212122</v>
      </c>
    </row>
    <row r="143" spans="2:11" x14ac:dyDescent="0.2">
      <c r="B143" s="498"/>
      <c r="C143" s="500" t="s">
        <v>126</v>
      </c>
      <c r="D143" s="500"/>
      <c r="E143" s="500"/>
      <c r="F143" s="500"/>
      <c r="G143" s="500"/>
      <c r="H143" s="500"/>
      <c r="I143" s="500"/>
      <c r="J143" s="500"/>
      <c r="K143" s="501"/>
    </row>
    <row r="144" spans="2:11" ht="14.25" customHeight="1" x14ac:dyDescent="0.2">
      <c r="B144" s="498"/>
      <c r="C144" s="499">
        <v>4</v>
      </c>
      <c r="D144" s="28">
        <v>23604001</v>
      </c>
      <c r="E144" s="175" t="s">
        <v>313</v>
      </c>
      <c r="F144" s="11">
        <f>IF(' جهات'!G305&gt;0,' جهات'!G305,"")</f>
        <v>50000</v>
      </c>
      <c r="G144" s="11">
        <f>IF(' جهات'!H305&gt;0,' جهات'!H305,"")</f>
        <v>50000</v>
      </c>
      <c r="H144" s="11">
        <f>IF(' جهات'!I305&gt;0,' جهات'!I305,"")</f>
        <v>20000</v>
      </c>
      <c r="I144" s="11">
        <f>IF(' جهات'!J305&gt;0,' جهات'!J305,"")</f>
        <v>29980</v>
      </c>
      <c r="J144" s="137">
        <f>IF(' جهات'!K305&gt;0,' جهات'!K305,"")</f>
        <v>70000</v>
      </c>
      <c r="K144" s="112">
        <f>IFERROR(J144/F144,"")</f>
        <v>1.4</v>
      </c>
    </row>
    <row r="145" spans="2:11" ht="14.25" customHeight="1" x14ac:dyDescent="0.2">
      <c r="B145" s="498"/>
      <c r="C145" s="499"/>
      <c r="D145" s="28">
        <v>23604003</v>
      </c>
      <c r="E145" s="175" t="s">
        <v>492</v>
      </c>
      <c r="F145" s="11">
        <f>IF(' جهات'!G306&gt;0,' جهات'!G306,"")</f>
        <v>25000</v>
      </c>
      <c r="G145" s="11">
        <f>IF(' جهات'!H306&gt;0,' جهات'!H306,"")</f>
        <v>25000</v>
      </c>
      <c r="H145" s="11">
        <f>IF(' جهات'!I306&gt;0,' جهات'!I306,"")</f>
        <v>6221.45</v>
      </c>
      <c r="I145" s="11">
        <f>IF(' جهات'!J306&gt;0,' جهات'!J306,"")</f>
        <v>3455</v>
      </c>
      <c r="J145" s="137">
        <f>IF(' جهات'!K306&gt;0,' جهات'!K306,"")</f>
        <v>50000</v>
      </c>
      <c r="K145" s="112">
        <f>IFERROR(J145/F145,"")</f>
        <v>2</v>
      </c>
    </row>
    <row r="146" spans="2:11" ht="14.25" customHeight="1" x14ac:dyDescent="0.2">
      <c r="B146" s="498"/>
      <c r="C146" s="499"/>
      <c r="D146" s="17">
        <v>23604004</v>
      </c>
      <c r="E146" s="50" t="s">
        <v>450</v>
      </c>
      <c r="F146" s="11">
        <f>' جهات'!G342</f>
        <v>2000</v>
      </c>
      <c r="G146" s="11">
        <f>' جهات'!H342</f>
        <v>2000</v>
      </c>
      <c r="H146" s="11">
        <f>' جهات'!I342</f>
        <v>0</v>
      </c>
      <c r="I146" s="11">
        <f>' جهات'!J342</f>
        <v>500</v>
      </c>
      <c r="J146" s="137">
        <f>' جهات'!K342</f>
        <v>2000</v>
      </c>
      <c r="K146" s="112">
        <f>IFERROR(J146/F146,"")</f>
        <v>1</v>
      </c>
    </row>
    <row r="147" spans="2:11" x14ac:dyDescent="0.2">
      <c r="B147" s="498"/>
      <c r="C147" s="497" t="s">
        <v>23</v>
      </c>
      <c r="D147" s="497"/>
      <c r="E147" s="497"/>
      <c r="F147" s="149">
        <f>SUM(F144:F146)</f>
        <v>77000</v>
      </c>
      <c r="G147" s="149">
        <f>SUM(G144:G146)</f>
        <v>77000</v>
      </c>
      <c r="H147" s="149">
        <f>SUM(H144:H146)</f>
        <v>26221.45</v>
      </c>
      <c r="I147" s="149">
        <f t="shared" ref="I147" si="35">SUM(I144:I146)</f>
        <v>33935</v>
      </c>
      <c r="J147" s="149">
        <f>SUM(J144:J146)</f>
        <v>122000</v>
      </c>
      <c r="K147" s="112">
        <f>IFERROR(J147/F147,"")</f>
        <v>1.5844155844155845</v>
      </c>
    </row>
    <row r="148" spans="2:11" x14ac:dyDescent="0.2">
      <c r="B148" s="498"/>
      <c r="C148" s="500" t="s">
        <v>128</v>
      </c>
      <c r="D148" s="500"/>
      <c r="E148" s="500"/>
      <c r="F148" s="500"/>
      <c r="G148" s="500"/>
      <c r="H148" s="500"/>
      <c r="I148" s="500"/>
      <c r="J148" s="500"/>
      <c r="K148" s="501"/>
    </row>
    <row r="149" spans="2:11" ht="14.25" customHeight="1" x14ac:dyDescent="0.2">
      <c r="B149" s="498"/>
      <c r="C149" s="499">
        <v>5</v>
      </c>
      <c r="D149" s="28">
        <v>23605001</v>
      </c>
      <c r="E149" s="175" t="s">
        <v>70</v>
      </c>
      <c r="F149" s="11">
        <f>IF(' جهات'!G39+' جهات'!G13&gt;0,' جهات'!G39+' جهات'!G13,"")</f>
        <v>10000</v>
      </c>
      <c r="G149" s="11">
        <f>IF(' جهات'!H39+' جهات'!H13&gt;0,' جهات'!H39+' جهات'!H13,"")</f>
        <v>10000</v>
      </c>
      <c r="H149" s="11">
        <f>IF(' جهات'!I39+' جهات'!I13&gt;0,' جهات'!I39+' جهات'!I13,"")</f>
        <v>5830.2690000000002</v>
      </c>
      <c r="I149" s="11" t="str">
        <f>IF(' جهات'!J39+' جهات'!J13&gt;0,' جهات'!J39+' جهات'!J13,"")</f>
        <v/>
      </c>
      <c r="J149" s="137">
        <f>IF(' جهات'!K39+' جهات'!K13&gt;0,' جهات'!K39+' جهات'!K13,"")</f>
        <v>10000</v>
      </c>
      <c r="K149" s="112">
        <f>IFERROR(J149/F149,"")</f>
        <v>1</v>
      </c>
    </row>
    <row r="150" spans="2:11" ht="14.25" customHeight="1" x14ac:dyDescent="0.2">
      <c r="B150" s="498"/>
      <c r="C150" s="499"/>
      <c r="D150" s="28">
        <v>23605002</v>
      </c>
      <c r="E150" s="175" t="s">
        <v>484</v>
      </c>
      <c r="F150" s="11">
        <f>IF(' جهات'!G40+' جهات'!G14&gt;0,' جهات'!G40+' جهات'!G14,"")</f>
        <v>4000</v>
      </c>
      <c r="G150" s="11">
        <f>IF(' جهات'!H40+' جهات'!H14&gt;0,' جهات'!H40+' جهات'!H14,"")</f>
        <v>4000</v>
      </c>
      <c r="H150" s="11">
        <f>IF(' جهات'!I40+' جهات'!I14&gt;0,' جهات'!I40+' جهات'!I14,"")</f>
        <v>315.5</v>
      </c>
      <c r="I150" s="11" t="str">
        <f>IF(' جهات'!J40+' جهات'!J14&gt;0,' جهات'!J40+' جهات'!J14,"")</f>
        <v/>
      </c>
      <c r="J150" s="137">
        <f>IF(' جهات'!K40+' جهات'!K14&gt;0,' جهات'!K40+' جهات'!K14,"")</f>
        <v>1000</v>
      </c>
      <c r="K150" s="112">
        <f>IFERROR(J150/F150,"")</f>
        <v>0.25</v>
      </c>
    </row>
    <row r="151" spans="2:11" x14ac:dyDescent="0.2">
      <c r="B151" s="498"/>
      <c r="C151" s="497" t="s">
        <v>23</v>
      </c>
      <c r="D151" s="497"/>
      <c r="E151" s="497"/>
      <c r="F151" s="149">
        <f>SUM(F149:F150)</f>
        <v>14000</v>
      </c>
      <c r="G151" s="149">
        <f t="shared" ref="G151:J151" si="36">SUM(G149:G150)</f>
        <v>14000</v>
      </c>
      <c r="H151" s="149">
        <f>SUM(H149:H150)</f>
        <v>6145.7690000000002</v>
      </c>
      <c r="I151" s="149">
        <f t="shared" si="36"/>
        <v>0</v>
      </c>
      <c r="J151" s="149">
        <f t="shared" si="36"/>
        <v>11000</v>
      </c>
      <c r="K151" s="112">
        <f>IFERROR(J151/F151,"")</f>
        <v>0.7857142857142857</v>
      </c>
    </row>
    <row r="152" spans="2:11" x14ac:dyDescent="0.2">
      <c r="B152" s="498"/>
      <c r="C152" s="500" t="s">
        <v>127</v>
      </c>
      <c r="D152" s="500"/>
      <c r="E152" s="500"/>
      <c r="F152" s="500"/>
      <c r="G152" s="500"/>
      <c r="H152" s="500"/>
      <c r="I152" s="500"/>
      <c r="J152" s="500"/>
      <c r="K152" s="501"/>
    </row>
    <row r="153" spans="2:11" ht="14.25" customHeight="1" x14ac:dyDescent="0.2">
      <c r="B153" s="498"/>
      <c r="C153" s="499">
        <v>6</v>
      </c>
      <c r="D153" s="28">
        <v>23606001</v>
      </c>
      <c r="E153" s="175" t="s">
        <v>71</v>
      </c>
      <c r="F153" s="11">
        <f>IF(' جهات'!G205&gt;0,' جهات'!G205,"")</f>
        <v>100000</v>
      </c>
      <c r="G153" s="11">
        <f>IF(' جهات'!H205&gt;0,' جهات'!H205,"")</f>
        <v>100000</v>
      </c>
      <c r="H153" s="11">
        <f>IF(' جهات'!I205&gt;0,' جهات'!I205,"")</f>
        <v>24360</v>
      </c>
      <c r="I153" s="11" t="str">
        <f>IF(' جهات'!J205&gt;0,' جهات'!J205,"")</f>
        <v/>
      </c>
      <c r="J153" s="137">
        <f>IF(' جهات'!K205&gt;0,' جهات'!K205,"")</f>
        <v>60000</v>
      </c>
      <c r="K153" s="112">
        <f>IFERROR(J153/F153,"")</f>
        <v>0.6</v>
      </c>
    </row>
    <row r="154" spans="2:11" ht="14.25" customHeight="1" x14ac:dyDescent="0.2">
      <c r="B154" s="498"/>
      <c r="C154" s="499"/>
      <c r="D154" s="28">
        <v>23606006</v>
      </c>
      <c r="E154" s="175" t="s">
        <v>72</v>
      </c>
      <c r="F154" s="11">
        <f>IF(' جهات'!G435&gt;0,' جهات'!G435,"")</f>
        <v>3000</v>
      </c>
      <c r="G154" s="11">
        <f>IF(' جهات'!H435&gt;0,' جهات'!H435,"")</f>
        <v>3000</v>
      </c>
      <c r="H154" s="11">
        <f>IF(' جهات'!I435&gt;0,' جهات'!I435,"")</f>
        <v>62.1</v>
      </c>
      <c r="I154" s="11" t="str">
        <f>IF(' جهات'!J435&gt;0,' جهات'!J435,"")</f>
        <v/>
      </c>
      <c r="J154" s="137">
        <f>IF(' جهات'!K435&gt;0,' جهات'!K435,"")</f>
        <v>3000</v>
      </c>
      <c r="K154" s="112">
        <f>IFERROR(J154/F154,"")</f>
        <v>1</v>
      </c>
    </row>
    <row r="155" spans="2:11" ht="14.25" customHeight="1" x14ac:dyDescent="0.2">
      <c r="B155" s="498"/>
      <c r="C155" s="499"/>
      <c r="D155" s="28">
        <v>23606008</v>
      </c>
      <c r="E155" s="175" t="s">
        <v>73</v>
      </c>
      <c r="F155" s="11">
        <f>IF(' جهات'!G206&gt;0,' جهات'!G206,"")</f>
        <v>20000</v>
      </c>
      <c r="G155" s="11">
        <f>IF(' جهات'!H206&gt;0,' جهات'!H206,"")</f>
        <v>20000</v>
      </c>
      <c r="H155" s="11">
        <f>IF(' جهات'!I206&gt;0,' جهات'!I206,"")</f>
        <v>15000</v>
      </c>
      <c r="I155" s="11" t="str">
        <f>IF(' جهات'!J206&gt;0,' جهات'!J206,"")</f>
        <v/>
      </c>
      <c r="J155" s="137">
        <f>IF(' جهات'!K206&gt;0,' جهات'!K206,"")</f>
        <v>20000</v>
      </c>
      <c r="K155" s="112">
        <f>IFERROR(J155/F155,"")</f>
        <v>1</v>
      </c>
    </row>
    <row r="156" spans="2:11" x14ac:dyDescent="0.2">
      <c r="B156" s="498"/>
      <c r="C156" s="497" t="s">
        <v>23</v>
      </c>
      <c r="D156" s="497"/>
      <c r="E156" s="497"/>
      <c r="F156" s="149">
        <f>SUM(F153:F155)</f>
        <v>123000</v>
      </c>
      <c r="G156" s="149">
        <f t="shared" ref="G156:I156" si="37">SUM(G153:G155)</f>
        <v>123000</v>
      </c>
      <c r="H156" s="149">
        <f>SUM(H153:H155)</f>
        <v>39422.1</v>
      </c>
      <c r="I156" s="149">
        <f t="shared" si="37"/>
        <v>0</v>
      </c>
      <c r="J156" s="149">
        <f>SUM(J153:J155)</f>
        <v>83000</v>
      </c>
      <c r="K156" s="112">
        <f>IFERROR(J156/F156,"")</f>
        <v>0.67479674796747968</v>
      </c>
    </row>
    <row r="157" spans="2:11" x14ac:dyDescent="0.2">
      <c r="B157" s="498"/>
      <c r="C157" s="500" t="s">
        <v>74</v>
      </c>
      <c r="D157" s="500"/>
      <c r="E157" s="500"/>
      <c r="F157" s="500"/>
      <c r="G157" s="500"/>
      <c r="H157" s="500"/>
      <c r="I157" s="500"/>
      <c r="J157" s="500"/>
      <c r="K157" s="501"/>
    </row>
    <row r="158" spans="2:11" ht="14.25" customHeight="1" x14ac:dyDescent="0.2">
      <c r="B158" s="498"/>
      <c r="C158" s="499">
        <v>15</v>
      </c>
      <c r="D158" s="28">
        <v>23615001</v>
      </c>
      <c r="E158" s="175" t="s">
        <v>74</v>
      </c>
      <c r="F158" s="11">
        <f>IF(' جهات'!G149+' جهات'!G436&gt;0,' جهات'!G149+' جهات'!G436,"")</f>
        <v>51000</v>
      </c>
      <c r="G158" s="11">
        <f>IF(' جهات'!H149+' جهات'!H436&gt;0,' جهات'!H149+' جهات'!H436,"")</f>
        <v>36000</v>
      </c>
      <c r="H158" s="11">
        <f>IF(' جهات'!I149+' جهات'!I436&gt;0,' جهات'!I149+' جهات'!I436,"")</f>
        <v>23937.411</v>
      </c>
      <c r="I158" s="11">
        <f>IF(' جهات'!J149+' جهات'!J436&gt;0,' جهات'!J149+' جهات'!J436,"")</f>
        <v>9253.4</v>
      </c>
      <c r="J158" s="137">
        <f>IF(' جهات'!K149+' جهات'!K436&gt;0,' جهات'!K149+' جهات'!K436,"")</f>
        <v>51000</v>
      </c>
      <c r="K158" s="112">
        <f>IFERROR(J158/F158,"")</f>
        <v>1</v>
      </c>
    </row>
    <row r="159" spans="2:11" s="46" customFormat="1" ht="14.25" customHeight="1" x14ac:dyDescent="0.2">
      <c r="B159" s="498"/>
      <c r="C159" s="499"/>
      <c r="D159" s="28">
        <v>23615003</v>
      </c>
      <c r="E159" s="176" t="s">
        <v>508</v>
      </c>
      <c r="F159" s="11">
        <f>IF(' جهات'!G437&gt;0,' جهات'!G437,"")</f>
        <v>100000</v>
      </c>
      <c r="G159" s="11">
        <f>IF(' جهات'!H437&gt;0,' جهات'!H437,"")</f>
        <v>100000</v>
      </c>
      <c r="H159" s="11">
        <f>IF(' جهات'!I437&gt;0,' جهات'!I437,"")</f>
        <v>2537.5680000000002</v>
      </c>
      <c r="I159" s="11" t="str">
        <f>IF(' جهات'!J437&gt;0,' جهات'!J437,"")</f>
        <v/>
      </c>
      <c r="J159" s="137">
        <f>IF(' جهات'!K437&gt;0,' جهات'!K437,"")</f>
        <v>75000</v>
      </c>
      <c r="K159" s="112">
        <f>IFERROR(J159/F159,"")</f>
        <v>0.75</v>
      </c>
    </row>
    <row r="160" spans="2:11" x14ac:dyDescent="0.2">
      <c r="B160" s="498"/>
      <c r="C160" s="497" t="s">
        <v>23</v>
      </c>
      <c r="D160" s="497"/>
      <c r="E160" s="497"/>
      <c r="F160" s="149">
        <f>SUM(F158:F159)</f>
        <v>151000</v>
      </c>
      <c r="G160" s="149">
        <f t="shared" ref="G160:J160" si="38">SUM(G158:G159)</f>
        <v>136000</v>
      </c>
      <c r="H160" s="149">
        <f t="shared" si="38"/>
        <v>26474.978999999999</v>
      </c>
      <c r="I160" s="149">
        <f t="shared" si="38"/>
        <v>9253.4</v>
      </c>
      <c r="J160" s="149">
        <f t="shared" si="38"/>
        <v>126000</v>
      </c>
      <c r="K160" s="112">
        <f>IFERROR(J160/F160,"")</f>
        <v>0.83443708609271527</v>
      </c>
    </row>
    <row r="161" spans="2:12" x14ac:dyDescent="0.2">
      <c r="B161" s="432" t="s">
        <v>129</v>
      </c>
      <c r="C161" s="433"/>
      <c r="D161" s="433"/>
      <c r="E161" s="433"/>
      <c r="F161" s="150">
        <f>F132+F137+F142+F147+F151+F156+F160</f>
        <v>1442300</v>
      </c>
      <c r="G161" s="150">
        <f t="shared" ref="G161:J161" si="39">G132+G137+G142+G147+G151+G156+G160</f>
        <v>1342500</v>
      </c>
      <c r="H161" s="150">
        <f>H132+H137+H142+H147+H151+H156+H160</f>
        <v>676119.34</v>
      </c>
      <c r="I161" s="150">
        <f t="shared" si="39"/>
        <v>236392.17199999999</v>
      </c>
      <c r="J161" s="150">
        <f t="shared" si="39"/>
        <v>1317725</v>
      </c>
      <c r="K161" s="112">
        <f>IFERROR(J161/F161,"")</f>
        <v>0.91362753934687657</v>
      </c>
      <c r="L161" s="26"/>
    </row>
    <row r="162" spans="2:12" x14ac:dyDescent="0.2">
      <c r="B162" s="468" t="s">
        <v>260</v>
      </c>
      <c r="C162" s="469"/>
      <c r="D162" s="469"/>
      <c r="E162" s="469"/>
      <c r="F162" s="469"/>
      <c r="G162" s="469"/>
      <c r="H162" s="469"/>
      <c r="I162" s="469"/>
      <c r="J162" s="469"/>
      <c r="K162" s="470"/>
    </row>
    <row r="163" spans="2:12" x14ac:dyDescent="0.2">
      <c r="B163" s="498">
        <v>46</v>
      </c>
      <c r="C163" s="500" t="s">
        <v>134</v>
      </c>
      <c r="D163" s="500"/>
      <c r="E163" s="500"/>
      <c r="F163" s="500"/>
      <c r="G163" s="500"/>
      <c r="H163" s="500"/>
      <c r="I163" s="500"/>
      <c r="J163" s="500"/>
      <c r="K163" s="501"/>
    </row>
    <row r="164" spans="2:12" ht="14.25" customHeight="1" x14ac:dyDescent="0.2">
      <c r="B164" s="498"/>
      <c r="C164" s="499">
        <v>1</v>
      </c>
      <c r="D164" s="28">
        <v>24601001</v>
      </c>
      <c r="E164" s="175" t="s">
        <v>75</v>
      </c>
      <c r="F164" s="11">
        <f>IF(' جهات'!G442&gt;0,' جهات'!G442,"")</f>
        <v>3550</v>
      </c>
      <c r="G164" s="11">
        <f>IF(' جهات'!H442&gt;0,' جهات'!H442,"")</f>
        <v>3550</v>
      </c>
      <c r="H164" s="11">
        <f>IF(' جهات'!I442&gt;0,' جهات'!I442,"")</f>
        <v>3550</v>
      </c>
      <c r="I164" s="11" t="str">
        <f>IF(' جهات'!J442&gt;0,' جهات'!J442,"")</f>
        <v/>
      </c>
      <c r="J164" s="137">
        <f>IF(' جهات'!K442&gt;0,' جهات'!K442,"")</f>
        <v>3550</v>
      </c>
      <c r="K164" s="112">
        <f t="shared" ref="K164:K171" si="40">IFERROR(J164/F164,"")</f>
        <v>1</v>
      </c>
    </row>
    <row r="165" spans="2:12" ht="14.25" customHeight="1" x14ac:dyDescent="0.2">
      <c r="B165" s="498"/>
      <c r="C165" s="499"/>
      <c r="D165" s="28">
        <v>24601002</v>
      </c>
      <c r="E165" s="175" t="s">
        <v>76</v>
      </c>
      <c r="F165" s="11">
        <f>IF(' جهات'!G443&gt;0,' جهات'!G443,"")</f>
        <v>2150</v>
      </c>
      <c r="G165" s="11">
        <f>IF(' جهات'!H443&gt;0,' جهات'!H443,"")</f>
        <v>2150</v>
      </c>
      <c r="H165" s="11" t="str">
        <f>IF(' جهات'!I443&gt;0,' جهات'!I443,"")</f>
        <v/>
      </c>
      <c r="I165" s="11" t="str">
        <f>IF(' جهات'!J443&gt;0,' جهات'!J443,"")</f>
        <v/>
      </c>
      <c r="J165" s="137">
        <f>IF(' جهات'!K443&gt;0,' جهات'!K443,"")</f>
        <v>2150</v>
      </c>
      <c r="K165" s="112">
        <f t="shared" si="40"/>
        <v>1</v>
      </c>
    </row>
    <row r="166" spans="2:12" ht="14.25" customHeight="1" x14ac:dyDescent="0.2">
      <c r="B166" s="498"/>
      <c r="C166" s="499"/>
      <c r="D166" s="28">
        <v>24601004</v>
      </c>
      <c r="E166" s="175" t="s">
        <v>130</v>
      </c>
      <c r="F166" s="11">
        <f>IF(' جهات'!G444&gt;0,' جهات'!G444,"")</f>
        <v>400</v>
      </c>
      <c r="G166" s="11">
        <f>IF(' جهات'!H444&gt;0,' جهات'!H444,"")</f>
        <v>400</v>
      </c>
      <c r="H166" s="11" t="str">
        <f>IF(' جهات'!I444&gt;0,' جهات'!I444,"")</f>
        <v/>
      </c>
      <c r="I166" s="11" t="str">
        <f>IF(' جهات'!J444&gt;0,' جهات'!J444,"")</f>
        <v/>
      </c>
      <c r="J166" s="137">
        <f>IF(' جهات'!K444&gt;0,' جهات'!K444,"")</f>
        <v>400</v>
      </c>
      <c r="K166" s="112">
        <f t="shared" si="40"/>
        <v>1</v>
      </c>
    </row>
    <row r="167" spans="2:12" ht="14.25" customHeight="1" x14ac:dyDescent="0.2">
      <c r="B167" s="498"/>
      <c r="C167" s="499"/>
      <c r="D167" s="28">
        <v>24601006</v>
      </c>
      <c r="E167" s="175" t="s">
        <v>77</v>
      </c>
      <c r="F167" s="11">
        <f>IF(' جهات'!G445&gt;0,' جهات'!G445,"")</f>
        <v>7000</v>
      </c>
      <c r="G167" s="11">
        <f>IF(' جهات'!H445&gt;0,' جهات'!H445,"")</f>
        <v>7000</v>
      </c>
      <c r="H167" s="11">
        <f>IF(' جهات'!I445&gt;0,' جهات'!I445,"")</f>
        <v>7000</v>
      </c>
      <c r="I167" s="11" t="str">
        <f>IF(' جهات'!J445&gt;0,' جهات'!J445,"")</f>
        <v/>
      </c>
      <c r="J167" s="137">
        <f>IF(' جهات'!K445&gt;0,' جهات'!K445,"")</f>
        <v>7000</v>
      </c>
      <c r="K167" s="112">
        <f t="shared" si="40"/>
        <v>1</v>
      </c>
    </row>
    <row r="168" spans="2:12" ht="14.25" customHeight="1" x14ac:dyDescent="0.2">
      <c r="B168" s="498"/>
      <c r="C168" s="499"/>
      <c r="D168" s="28">
        <v>24601007</v>
      </c>
      <c r="E168" s="175" t="s">
        <v>78</v>
      </c>
      <c r="F168" s="11">
        <f>IF(' جهات'!G446&gt;0,' جهات'!G446,"")</f>
        <v>10000</v>
      </c>
      <c r="G168" s="11">
        <f>IF(' جهات'!H446&gt;0,' جهات'!H446,"")</f>
        <v>10000</v>
      </c>
      <c r="H168" s="11" t="str">
        <f>IF(' جهات'!I446&gt;0,' جهات'!I446,"")</f>
        <v/>
      </c>
      <c r="I168" s="11" t="str">
        <f>IF(' جهات'!J446&gt;0,' جهات'!J446,"")</f>
        <v/>
      </c>
      <c r="J168" s="137">
        <f>IF(' جهات'!K446&gt;0,' جهات'!K446,"")</f>
        <v>10000</v>
      </c>
      <c r="K168" s="112">
        <f t="shared" si="40"/>
        <v>1</v>
      </c>
    </row>
    <row r="169" spans="2:12" ht="14.25" customHeight="1" x14ac:dyDescent="0.2">
      <c r="B169" s="498"/>
      <c r="C169" s="499"/>
      <c r="D169" s="29">
        <v>24601009</v>
      </c>
      <c r="E169" s="177" t="s">
        <v>283</v>
      </c>
      <c r="F169" s="11">
        <f>IF(' جهات'!G447&gt;0,' جهات'!G447,"")</f>
        <v>400</v>
      </c>
      <c r="G169" s="11">
        <f>IF(' جهات'!H447&gt;0,' جهات'!H447,"")</f>
        <v>400</v>
      </c>
      <c r="H169" s="11">
        <f>IF(' جهات'!I447&gt;0,' جهات'!I447,"")</f>
        <v>393.63600000000002</v>
      </c>
      <c r="I169" s="11" t="str">
        <f>IF(' جهات'!J447&gt;0,' جهات'!J447,"")</f>
        <v/>
      </c>
      <c r="J169" s="137">
        <f>IF(' جهات'!K447&gt;0,' جهات'!K447,"")</f>
        <v>400</v>
      </c>
      <c r="K169" s="112">
        <f t="shared" si="40"/>
        <v>1</v>
      </c>
    </row>
    <row r="170" spans="2:12" s="46" customFormat="1" ht="14.25" customHeight="1" x14ac:dyDescent="0.2">
      <c r="B170" s="498"/>
      <c r="C170" s="499"/>
      <c r="D170" s="121"/>
      <c r="E170" s="57" t="s">
        <v>511</v>
      </c>
      <c r="F170" s="65" t="str">
        <f>IF(' جهات'!G461&gt;0,' جهات'!G461,"")</f>
        <v/>
      </c>
      <c r="G170" s="65" t="str">
        <f>IF(' جهات'!H461&gt;0,' جهات'!H461,"")</f>
        <v/>
      </c>
      <c r="H170" s="65" t="str">
        <f>IF(' جهات'!I461&gt;0,' جهات'!I461,"")</f>
        <v/>
      </c>
      <c r="I170" s="65" t="str">
        <f>IF(' جهات'!J461&gt;0,' جهات'!J461,"")</f>
        <v/>
      </c>
      <c r="J170" s="137">
        <f>IF(' جهات'!K461&gt;0,' جهات'!K461,"")</f>
        <v>400</v>
      </c>
      <c r="K170" s="112" t="str">
        <f t="shared" si="40"/>
        <v/>
      </c>
    </row>
    <row r="171" spans="2:12" x14ac:dyDescent="0.2">
      <c r="B171" s="498"/>
      <c r="C171" s="497" t="s">
        <v>23</v>
      </c>
      <c r="D171" s="497"/>
      <c r="E171" s="497"/>
      <c r="F171" s="149">
        <f t="shared" ref="F171:I171" si="41">SUM(F164:F170)</f>
        <v>23500</v>
      </c>
      <c r="G171" s="149">
        <f t="shared" si="41"/>
        <v>23500</v>
      </c>
      <c r="H171" s="149">
        <f>SUM(H164:H170)</f>
        <v>10943.636</v>
      </c>
      <c r="I171" s="149">
        <f t="shared" si="41"/>
        <v>0</v>
      </c>
      <c r="J171" s="149">
        <f>SUM(J164:J170)</f>
        <v>23900</v>
      </c>
      <c r="K171" s="112">
        <f t="shared" si="40"/>
        <v>1.0170212765957447</v>
      </c>
    </row>
    <row r="172" spans="2:12" x14ac:dyDescent="0.2">
      <c r="B172" s="498"/>
      <c r="C172" s="500" t="s">
        <v>135</v>
      </c>
      <c r="D172" s="500"/>
      <c r="E172" s="500"/>
      <c r="F172" s="500"/>
      <c r="G172" s="500"/>
      <c r="H172" s="500"/>
      <c r="I172" s="500"/>
      <c r="J172" s="500"/>
      <c r="K172" s="501"/>
    </row>
    <row r="173" spans="2:12" ht="14.25" customHeight="1" x14ac:dyDescent="0.2">
      <c r="B173" s="498"/>
      <c r="C173" s="499">
        <v>2</v>
      </c>
      <c r="D173" s="28">
        <v>24602001</v>
      </c>
      <c r="E173" s="175" t="s">
        <v>79</v>
      </c>
      <c r="F173" s="11">
        <f>IF(' جهات'!G448&gt;0,' جهات'!G448,"")</f>
        <v>3600</v>
      </c>
      <c r="G173" s="11">
        <f>IF(' جهات'!H448&gt;0,' جهات'!H448,"")</f>
        <v>3600</v>
      </c>
      <c r="H173" s="11">
        <f>IF(' جهات'!I448&gt;0,' جهات'!I448,"")</f>
        <v>3577.6930000000002</v>
      </c>
      <c r="I173" s="11" t="str">
        <f>IF(' جهات'!J448&gt;0,' جهات'!J448,"")</f>
        <v/>
      </c>
      <c r="J173" s="137">
        <f>IF(' جهات'!K448&gt;0,' جهات'!K448,"")</f>
        <v>3600</v>
      </c>
      <c r="K173" s="112">
        <f>IFERROR(J173/F173,"")</f>
        <v>1</v>
      </c>
    </row>
    <row r="174" spans="2:12" ht="14.25" customHeight="1" x14ac:dyDescent="0.2">
      <c r="B174" s="498"/>
      <c r="C174" s="499"/>
      <c r="D174" s="28">
        <v>24602002</v>
      </c>
      <c r="E174" s="175" t="s">
        <v>131</v>
      </c>
      <c r="F174" s="11">
        <f>IF(' جهات'!G449&gt;0,' جهات'!G449,"")</f>
        <v>2000</v>
      </c>
      <c r="G174" s="11">
        <f>IF(' جهات'!H449&gt;0,' جهات'!H449,"")</f>
        <v>2000</v>
      </c>
      <c r="H174" s="11" t="str">
        <f>IF(' جهات'!I449&gt;0,' جهات'!I449,"")</f>
        <v/>
      </c>
      <c r="I174" s="11" t="str">
        <f>IF(' جهات'!J449&gt;0,' جهات'!J449,"")</f>
        <v/>
      </c>
      <c r="J174" s="137">
        <f>IF(' جهات'!K449&gt;0,' جهات'!K449,"")</f>
        <v>2000</v>
      </c>
      <c r="K174" s="112">
        <f>IFERROR(J174/F174,"")</f>
        <v>1</v>
      </c>
    </row>
    <row r="175" spans="2:12" ht="14.25" customHeight="1" x14ac:dyDescent="0.2">
      <c r="B175" s="498"/>
      <c r="C175" s="499"/>
      <c r="D175" s="28">
        <v>24602004</v>
      </c>
      <c r="E175" s="175" t="s">
        <v>132</v>
      </c>
      <c r="F175" s="11">
        <f>IF(' جهات'!G450&gt;0,' جهات'!G450,"")</f>
        <v>15000</v>
      </c>
      <c r="G175" s="11">
        <f>IF(' جهات'!H450&gt;0,' جهات'!H450,"")</f>
        <v>15000</v>
      </c>
      <c r="H175" s="11">
        <f>IF(' جهات'!I450&gt;0,' جهات'!I450,"")</f>
        <v>15000</v>
      </c>
      <c r="I175" s="11" t="str">
        <f>IF(' جهات'!J450&gt;0,' جهات'!J450,"")</f>
        <v/>
      </c>
      <c r="J175" s="137">
        <f>IF(' جهات'!K450&gt;0,' جهات'!K450,"")</f>
        <v>15000</v>
      </c>
      <c r="K175" s="112">
        <f>IFERROR(J175/F175,"")</f>
        <v>1</v>
      </c>
    </row>
    <row r="176" spans="2:12" ht="14.25" customHeight="1" x14ac:dyDescent="0.2">
      <c r="B176" s="498"/>
      <c r="C176" s="499"/>
      <c r="D176" s="28">
        <v>24602007</v>
      </c>
      <c r="E176" s="175" t="s">
        <v>80</v>
      </c>
      <c r="F176" s="11">
        <f>IF(' جهات'!G451&gt;0,' جهات'!G451,"")</f>
        <v>500</v>
      </c>
      <c r="G176" s="11">
        <f>IF(' جهات'!H451&gt;0,' جهات'!H451,"")</f>
        <v>500</v>
      </c>
      <c r="H176" s="11" t="str">
        <f>IF(' جهات'!I451&gt;0,' جهات'!I451,"")</f>
        <v/>
      </c>
      <c r="I176" s="11" t="str">
        <f>IF(' جهات'!J451&gt;0,' جهات'!J451,"")</f>
        <v/>
      </c>
      <c r="J176" s="137">
        <f>IF(' جهات'!K451&gt;0,' جهات'!K451,"")</f>
        <v>500</v>
      </c>
      <c r="K176" s="112">
        <f>IFERROR(J176/F176,"")</f>
        <v>1</v>
      </c>
    </row>
    <row r="177" spans="2:11" x14ac:dyDescent="0.2">
      <c r="B177" s="498"/>
      <c r="C177" s="497" t="s">
        <v>23</v>
      </c>
      <c r="D177" s="497"/>
      <c r="E177" s="497"/>
      <c r="F177" s="149">
        <f t="shared" ref="F177:I177" si="42">SUM(F173:F176)</f>
        <v>21100</v>
      </c>
      <c r="G177" s="149">
        <f t="shared" si="42"/>
        <v>21100</v>
      </c>
      <c r="H177" s="149">
        <f>SUM(H173:H176)</f>
        <v>18577.692999999999</v>
      </c>
      <c r="I177" s="149">
        <f t="shared" si="42"/>
        <v>0</v>
      </c>
      <c r="J177" s="149">
        <f>SUM(J173:J176)</f>
        <v>21100</v>
      </c>
      <c r="K177" s="112">
        <f>IFERROR(J177/F177,"")</f>
        <v>1</v>
      </c>
    </row>
    <row r="178" spans="2:11" x14ac:dyDescent="0.2">
      <c r="B178" s="498"/>
      <c r="C178" s="500" t="s">
        <v>136</v>
      </c>
      <c r="D178" s="500"/>
      <c r="E178" s="500"/>
      <c r="F178" s="500"/>
      <c r="G178" s="500"/>
      <c r="H178" s="500"/>
      <c r="I178" s="500"/>
      <c r="J178" s="500"/>
      <c r="K178" s="501"/>
    </row>
    <row r="179" spans="2:11" ht="14.25" customHeight="1" x14ac:dyDescent="0.2">
      <c r="B179" s="498"/>
      <c r="C179" s="499">
        <v>5</v>
      </c>
      <c r="D179" s="300">
        <v>24605003</v>
      </c>
      <c r="E179" s="175" t="s">
        <v>81</v>
      </c>
      <c r="F179" s="11">
        <f>IF(' جهات'!G452&gt;0,' جهات'!G452,"")</f>
        <v>5000</v>
      </c>
      <c r="G179" s="11">
        <f>IF(' جهات'!H452&gt;0,' جهات'!H452,"")</f>
        <v>5000</v>
      </c>
      <c r="H179" s="11" t="str">
        <f>IF(' جهات'!I452&gt;0,' جهات'!I452,"")</f>
        <v/>
      </c>
      <c r="I179" s="11" t="str">
        <f>IF(' جهات'!J452&gt;0,' جهات'!J452,"")</f>
        <v/>
      </c>
      <c r="J179" s="137">
        <f>IF(' جهات'!K452&gt;0,' جهات'!K452,"")</f>
        <v>5000</v>
      </c>
      <c r="K179" s="112">
        <f t="shared" ref="K179:K189" si="43">IFERROR(J179/F179,"")</f>
        <v>1</v>
      </c>
    </row>
    <row r="180" spans="2:11" ht="14.25" customHeight="1" x14ac:dyDescent="0.2">
      <c r="B180" s="498"/>
      <c r="C180" s="499"/>
      <c r="D180" s="28">
        <v>24605007</v>
      </c>
      <c r="E180" s="175" t="s">
        <v>82</v>
      </c>
      <c r="F180" s="11">
        <f>IF(' جهات'!G453&gt;0,' جهات'!G453,"")</f>
        <v>10000</v>
      </c>
      <c r="G180" s="11">
        <f>IF(' جهات'!H453&gt;0,' جهات'!H453,"")</f>
        <v>10000</v>
      </c>
      <c r="H180" s="11">
        <f>IF(' جهات'!I453&gt;0,' جهات'!I453,"")</f>
        <v>10000</v>
      </c>
      <c r="I180" s="11" t="str">
        <f>IF(' جهات'!J453&gt;0,' جهات'!J453,"")</f>
        <v/>
      </c>
      <c r="J180" s="137">
        <f>IF(' جهات'!K453&gt;0,' جهات'!K453,"")</f>
        <v>10000</v>
      </c>
      <c r="K180" s="112">
        <f t="shared" si="43"/>
        <v>1</v>
      </c>
    </row>
    <row r="181" spans="2:11" ht="14.25" customHeight="1" x14ac:dyDescent="0.2">
      <c r="B181" s="498"/>
      <c r="C181" s="499"/>
      <c r="D181" s="28">
        <v>24605009</v>
      </c>
      <c r="E181" s="175" t="s">
        <v>133</v>
      </c>
      <c r="F181" s="11">
        <f>IF(' جهات'!G454&gt;0,' جهات'!G454,"")</f>
        <v>25000</v>
      </c>
      <c r="G181" s="11">
        <f>IF(' جهات'!H454&gt;0,' جهات'!H454,"")</f>
        <v>25000</v>
      </c>
      <c r="H181" s="11">
        <f>IF(' جهات'!I454&gt;0,' جهات'!I454,"")</f>
        <v>25000</v>
      </c>
      <c r="I181" s="11" t="str">
        <f>IF(' جهات'!J454&gt;0,' جهات'!J454,"")</f>
        <v/>
      </c>
      <c r="J181" s="137">
        <f>IF(' جهات'!K454&gt;0,' جهات'!K454,"")</f>
        <v>25000</v>
      </c>
      <c r="K181" s="112">
        <f t="shared" si="43"/>
        <v>1</v>
      </c>
    </row>
    <row r="182" spans="2:11" ht="14.25" customHeight="1" x14ac:dyDescent="0.2">
      <c r="B182" s="498"/>
      <c r="C182" s="499"/>
      <c r="D182" s="28">
        <v>24605010</v>
      </c>
      <c r="E182" s="175" t="s">
        <v>83</v>
      </c>
      <c r="F182" s="11">
        <f>IF(' جهات'!G455&gt;0,' جهات'!G455,"")</f>
        <v>1500</v>
      </c>
      <c r="G182" s="11">
        <f>IF(' جهات'!H455&gt;0,' جهات'!H455,"")</f>
        <v>1500</v>
      </c>
      <c r="H182" s="11">
        <f>IF(' جهات'!I455&gt;0,' جهات'!I455,"")</f>
        <v>1500</v>
      </c>
      <c r="I182" s="11" t="str">
        <f>IF(' جهات'!J455&gt;0,' جهات'!J455,"")</f>
        <v/>
      </c>
      <c r="J182" s="137">
        <f>IF(' جهات'!K455&gt;0,' جهات'!K455,"")</f>
        <v>1500</v>
      </c>
      <c r="K182" s="112">
        <f t="shared" si="43"/>
        <v>1</v>
      </c>
    </row>
    <row r="183" spans="2:11" ht="14.25" customHeight="1" x14ac:dyDescent="0.2">
      <c r="B183" s="498"/>
      <c r="C183" s="499"/>
      <c r="D183" s="28">
        <v>24605016</v>
      </c>
      <c r="E183" s="175" t="s">
        <v>84</v>
      </c>
      <c r="F183" s="11">
        <f>IF(' جهات'!G456&gt;0,' جهات'!G456,"")</f>
        <v>2000</v>
      </c>
      <c r="G183" s="11">
        <f>IF(' جهات'!H456&gt;0,' جهات'!H456,"")</f>
        <v>2000</v>
      </c>
      <c r="H183" s="11" t="str">
        <f>IF(' جهات'!I456&gt;0,' جهات'!I456,"")</f>
        <v/>
      </c>
      <c r="I183" s="11" t="str">
        <f>IF(' جهات'!J456&gt;0,' جهات'!J456,"")</f>
        <v/>
      </c>
      <c r="J183" s="137">
        <f>IF(' جهات'!K456&gt;0,' جهات'!K456,"")</f>
        <v>2000</v>
      </c>
      <c r="K183" s="112">
        <f t="shared" si="43"/>
        <v>1</v>
      </c>
    </row>
    <row r="184" spans="2:11" ht="14.25" customHeight="1" x14ac:dyDescent="0.2">
      <c r="B184" s="498"/>
      <c r="C184" s="499"/>
      <c r="D184" s="28">
        <v>24605017</v>
      </c>
      <c r="E184" s="175" t="s">
        <v>85</v>
      </c>
      <c r="F184" s="11">
        <f>IF(' جهات'!G457&gt;0,' جهات'!G457,"")</f>
        <v>500</v>
      </c>
      <c r="G184" s="11">
        <f>IF(' جهات'!H457&gt;0,' جهات'!H457,"")</f>
        <v>500</v>
      </c>
      <c r="H184" s="11">
        <f>IF(' جهات'!I457&gt;0,' جهات'!I457,"")</f>
        <v>354</v>
      </c>
      <c r="I184" s="11" t="str">
        <f>IF(' جهات'!J457&gt;0,' جهات'!J457,"")</f>
        <v/>
      </c>
      <c r="J184" s="137">
        <f>IF(' جهات'!K457&gt;0,' جهات'!K457,"")</f>
        <v>500</v>
      </c>
      <c r="K184" s="112">
        <f t="shared" si="43"/>
        <v>1</v>
      </c>
    </row>
    <row r="185" spans="2:11" ht="14.25" customHeight="1" x14ac:dyDescent="0.2">
      <c r="B185" s="498"/>
      <c r="C185" s="499"/>
      <c r="D185" s="28">
        <v>24605020</v>
      </c>
      <c r="E185" s="175" t="s">
        <v>86</v>
      </c>
      <c r="F185" s="11">
        <f>IF(' جهات'!G458&gt;0,' جهات'!G458,"")</f>
        <v>5000</v>
      </c>
      <c r="G185" s="11">
        <f>IF(' جهات'!H458&gt;0,' جهات'!H458,"")</f>
        <v>5000</v>
      </c>
      <c r="H185" s="11">
        <f>IF(' جهات'!I458&gt;0,' جهات'!I458,"")</f>
        <v>5000</v>
      </c>
      <c r="I185" s="11" t="str">
        <f>IF(' جهات'!J458&gt;0,' جهات'!J458,"")</f>
        <v/>
      </c>
      <c r="J185" s="137">
        <f>IF(' جهات'!K458&gt;0,' جهات'!K458,"")</f>
        <v>5000</v>
      </c>
      <c r="K185" s="112">
        <f t="shared" si="43"/>
        <v>1</v>
      </c>
    </row>
    <row r="186" spans="2:11" ht="14.25" customHeight="1" x14ac:dyDescent="0.2">
      <c r="B186" s="498"/>
      <c r="C186" s="499"/>
      <c r="D186" s="28">
        <v>24605021</v>
      </c>
      <c r="E186" s="175" t="s">
        <v>87</v>
      </c>
      <c r="F186" s="11">
        <f>IF(' جهات'!G459&gt;0,' جهات'!G459,"")</f>
        <v>250</v>
      </c>
      <c r="G186" s="11">
        <f>IF(' جهات'!H459&gt;0,' جهات'!H459,"")</f>
        <v>250</v>
      </c>
      <c r="H186" s="11" t="str">
        <f>IF(' جهات'!I459&gt;0,' جهات'!I459,"")</f>
        <v/>
      </c>
      <c r="I186" s="11" t="str">
        <f>IF(' جهات'!J459&gt;0,' جهات'!J459,"")</f>
        <v/>
      </c>
      <c r="J186" s="137">
        <f>IF(' جهات'!K459&gt;0,' جهات'!K459,"")</f>
        <v>250</v>
      </c>
      <c r="K186" s="112">
        <f t="shared" si="43"/>
        <v>1</v>
      </c>
    </row>
    <row r="187" spans="2:11" ht="14.25" customHeight="1" x14ac:dyDescent="0.2">
      <c r="B187" s="498"/>
      <c r="C187" s="499"/>
      <c r="D187" s="28">
        <v>24605022</v>
      </c>
      <c r="E187" s="175" t="s">
        <v>88</v>
      </c>
      <c r="F187" s="11">
        <f>IF(' جهات'!G460&gt;0,' جهات'!G460,"")</f>
        <v>250</v>
      </c>
      <c r="G187" s="11">
        <f>IF(' جهات'!H460&gt;0,' جهات'!H460,"")</f>
        <v>250</v>
      </c>
      <c r="H187" s="11">
        <f>IF(' جهات'!I460&gt;0,' جهات'!I460,"")</f>
        <v>250</v>
      </c>
      <c r="I187" s="11" t="str">
        <f>IF(' جهات'!J460&gt;0,' جهات'!J460,"")</f>
        <v/>
      </c>
      <c r="J187" s="137">
        <f>IF(' جهات'!K460&gt;0,' جهات'!K460,"")</f>
        <v>250</v>
      </c>
      <c r="K187" s="112">
        <f t="shared" si="43"/>
        <v>1</v>
      </c>
    </row>
    <row r="188" spans="2:11" x14ac:dyDescent="0.2">
      <c r="B188" s="498"/>
      <c r="C188" s="497" t="s">
        <v>23</v>
      </c>
      <c r="D188" s="497"/>
      <c r="E188" s="497"/>
      <c r="F188" s="149">
        <f t="shared" ref="F188:I188" si="44">SUM(F179:F187)</f>
        <v>49500</v>
      </c>
      <c r="G188" s="149">
        <f>SUM(G179:G187)</f>
        <v>49500</v>
      </c>
      <c r="H188" s="149">
        <f>SUM(H179:H187)</f>
        <v>42104</v>
      </c>
      <c r="I188" s="149">
        <f t="shared" si="44"/>
        <v>0</v>
      </c>
      <c r="J188" s="149">
        <f>SUM(J179:J187)</f>
        <v>49500</v>
      </c>
      <c r="K188" s="112">
        <f t="shared" si="43"/>
        <v>1</v>
      </c>
    </row>
    <row r="189" spans="2:11" x14ac:dyDescent="0.2">
      <c r="B189" s="432" t="s">
        <v>137</v>
      </c>
      <c r="C189" s="433"/>
      <c r="D189" s="433"/>
      <c r="E189" s="433"/>
      <c r="F189" s="150">
        <f t="shared" ref="F189:J189" si="45">F171+F177+F188</f>
        <v>94100</v>
      </c>
      <c r="G189" s="150">
        <f t="shared" si="45"/>
        <v>94100</v>
      </c>
      <c r="H189" s="150">
        <f>H171+H177+H188</f>
        <v>71625.328999999998</v>
      </c>
      <c r="I189" s="150">
        <f t="shared" si="45"/>
        <v>0</v>
      </c>
      <c r="J189" s="150">
        <f t="shared" si="45"/>
        <v>94500</v>
      </c>
      <c r="K189" s="112">
        <f t="shared" si="43"/>
        <v>1.0042507970244421</v>
      </c>
    </row>
    <row r="190" spans="2:11" x14ac:dyDescent="0.2">
      <c r="B190" s="468" t="s">
        <v>298</v>
      </c>
      <c r="C190" s="469"/>
      <c r="D190" s="469"/>
      <c r="E190" s="469"/>
      <c r="F190" s="469"/>
      <c r="G190" s="469"/>
      <c r="H190" s="469"/>
      <c r="I190" s="469"/>
      <c r="J190" s="469"/>
      <c r="K190" s="470"/>
    </row>
    <row r="191" spans="2:11" x14ac:dyDescent="0.2">
      <c r="B191" s="498">
        <v>47</v>
      </c>
      <c r="C191" s="500" t="s">
        <v>299</v>
      </c>
      <c r="D191" s="500"/>
      <c r="E191" s="500"/>
      <c r="F191" s="500"/>
      <c r="G191" s="500"/>
      <c r="H191" s="500"/>
      <c r="I191" s="500"/>
      <c r="J191" s="500"/>
      <c r="K191" s="501"/>
    </row>
    <row r="192" spans="2:11" ht="14.25" customHeight="1" x14ac:dyDescent="0.2">
      <c r="B192" s="498"/>
      <c r="C192" s="299">
        <v>1</v>
      </c>
      <c r="D192" s="28">
        <v>24701001</v>
      </c>
      <c r="E192" s="175" t="s">
        <v>446</v>
      </c>
      <c r="F192" s="11">
        <f>IF(' جهات'!G468&gt;0,' جهات'!G468,"")</f>
        <v>950000</v>
      </c>
      <c r="G192" s="11">
        <f>IF(' جهات'!H468&gt;0,' جهات'!H468,"")</f>
        <v>950000</v>
      </c>
      <c r="H192" s="11">
        <f>IF(' جهات'!I468&gt;0,' جهات'!I468,"")</f>
        <v>449687.85499999998</v>
      </c>
      <c r="I192" s="11">
        <f>IF(' جهات'!J468&gt;0,' جهات'!J468,"")</f>
        <v>493049.337</v>
      </c>
      <c r="J192" s="137">
        <f>IF(' جهات'!K468&gt;0,' جهات'!K468,"")</f>
        <v>1150000</v>
      </c>
      <c r="K192" s="112">
        <f>IFERROR(J192/F192,"")</f>
        <v>1.2105263157894737</v>
      </c>
    </row>
    <row r="193" spans="2:17" x14ac:dyDescent="0.2">
      <c r="B193" s="498"/>
      <c r="C193" s="497" t="s">
        <v>23</v>
      </c>
      <c r="D193" s="497"/>
      <c r="E193" s="497"/>
      <c r="F193" s="149">
        <f>SUM(F192)</f>
        <v>950000</v>
      </c>
      <c r="G193" s="149">
        <f t="shared" ref="G193:J193" si="46">SUM(G192)</f>
        <v>950000</v>
      </c>
      <c r="H193" s="149">
        <f>SUM(H192)</f>
        <v>449687.85499999998</v>
      </c>
      <c r="I193" s="149">
        <f t="shared" si="46"/>
        <v>493049.337</v>
      </c>
      <c r="J193" s="149">
        <f t="shared" si="46"/>
        <v>1150000</v>
      </c>
      <c r="K193" s="112">
        <f>IFERROR(J193/F193,"")</f>
        <v>1.2105263157894737</v>
      </c>
    </row>
    <row r="194" spans="2:17" x14ac:dyDescent="0.2">
      <c r="B194" s="432" t="s">
        <v>300</v>
      </c>
      <c r="C194" s="433"/>
      <c r="D194" s="433"/>
      <c r="E194" s="433"/>
      <c r="F194" s="150">
        <f>F193</f>
        <v>950000</v>
      </c>
      <c r="G194" s="150">
        <f t="shared" ref="G194:J194" si="47">G193</f>
        <v>950000</v>
      </c>
      <c r="H194" s="150">
        <f t="shared" si="47"/>
        <v>449687.85499999998</v>
      </c>
      <c r="I194" s="150">
        <f t="shared" si="47"/>
        <v>493049.337</v>
      </c>
      <c r="J194" s="150">
        <f t="shared" si="47"/>
        <v>1150000</v>
      </c>
      <c r="K194" s="112">
        <f>IFERROR(J194/F194,"")</f>
        <v>1.2105263157894737</v>
      </c>
    </row>
    <row r="195" spans="2:17" x14ac:dyDescent="0.2">
      <c r="B195" s="468" t="s">
        <v>262</v>
      </c>
      <c r="C195" s="469"/>
      <c r="D195" s="469"/>
      <c r="E195" s="469"/>
      <c r="F195" s="469"/>
      <c r="G195" s="469"/>
      <c r="H195" s="469"/>
      <c r="I195" s="469"/>
      <c r="J195" s="469"/>
      <c r="K195" s="470"/>
    </row>
    <row r="196" spans="2:17" x14ac:dyDescent="0.2">
      <c r="B196" s="498">
        <v>49</v>
      </c>
      <c r="C196" s="500" t="s">
        <v>138</v>
      </c>
      <c r="D196" s="500"/>
      <c r="E196" s="500"/>
      <c r="F196" s="500"/>
      <c r="G196" s="500"/>
      <c r="H196" s="500"/>
      <c r="I196" s="500"/>
      <c r="J196" s="500"/>
      <c r="K196" s="501"/>
    </row>
    <row r="197" spans="2:17" ht="14.25" customHeight="1" x14ac:dyDescent="0.2">
      <c r="B197" s="498"/>
      <c r="C197" s="299">
        <v>1</v>
      </c>
      <c r="D197" s="28">
        <v>24903001</v>
      </c>
      <c r="E197" s="175" t="s">
        <v>89</v>
      </c>
      <c r="F197" s="11">
        <f>IF(' جهات'!G438&gt;0,' جهات'!G438,"")</f>
        <v>450000</v>
      </c>
      <c r="G197" s="11">
        <f>IF(' جهات'!H438&gt;0,' جهات'!H438,"")</f>
        <v>645000</v>
      </c>
      <c r="H197" s="11">
        <f>IF(' جهات'!I438&gt;0,' جهات'!I438,"")</f>
        <v>640844.58400000003</v>
      </c>
      <c r="I197" s="11" t="str">
        <f>IF(' جهات'!J438&gt;0,' جهات'!J438,"")</f>
        <v/>
      </c>
      <c r="J197" s="137">
        <f>IF(' جهات'!K438&gt;0,' جهات'!K438,"")</f>
        <v>800000</v>
      </c>
      <c r="K197" s="112">
        <f>IFERROR(J197/F197,"")</f>
        <v>1.7777777777777777</v>
      </c>
    </row>
    <row r="198" spans="2:17" x14ac:dyDescent="0.2">
      <c r="B198" s="498"/>
      <c r="C198" s="497" t="s">
        <v>23</v>
      </c>
      <c r="D198" s="497"/>
      <c r="E198" s="497"/>
      <c r="F198" s="149">
        <f>SUM(F197)</f>
        <v>450000</v>
      </c>
      <c r="G198" s="149">
        <f t="shared" ref="G198:I198" si="48">SUM(G197)</f>
        <v>645000</v>
      </c>
      <c r="H198" s="149">
        <f t="shared" si="48"/>
        <v>640844.58400000003</v>
      </c>
      <c r="I198" s="149">
        <f t="shared" si="48"/>
        <v>0</v>
      </c>
      <c r="J198" s="149">
        <f>SUM(J197)</f>
        <v>800000</v>
      </c>
      <c r="K198" s="112">
        <f>IFERROR(J198/F198,"")</f>
        <v>1.7777777777777777</v>
      </c>
    </row>
    <row r="199" spans="2:17" x14ac:dyDescent="0.2">
      <c r="B199" s="432" t="s">
        <v>261</v>
      </c>
      <c r="C199" s="433"/>
      <c r="D199" s="433"/>
      <c r="E199" s="433"/>
      <c r="F199" s="150">
        <f>F198</f>
        <v>450000</v>
      </c>
      <c r="G199" s="150">
        <f t="shared" ref="G199:J199" si="49">G198</f>
        <v>645000</v>
      </c>
      <c r="H199" s="150">
        <f t="shared" si="49"/>
        <v>640844.58400000003</v>
      </c>
      <c r="I199" s="150">
        <f t="shared" si="49"/>
        <v>0</v>
      </c>
      <c r="J199" s="150">
        <f t="shared" si="49"/>
        <v>800000</v>
      </c>
      <c r="K199" s="112">
        <f>IFERROR(J199/F199,"")</f>
        <v>1.7777777777777777</v>
      </c>
    </row>
    <row r="200" spans="2:17" x14ac:dyDescent="0.2">
      <c r="B200" s="468" t="s">
        <v>681</v>
      </c>
      <c r="C200" s="469"/>
      <c r="D200" s="469"/>
      <c r="E200" s="469"/>
      <c r="F200" s="469"/>
      <c r="G200" s="469"/>
      <c r="H200" s="469"/>
      <c r="I200" s="469"/>
      <c r="J200" s="469"/>
      <c r="K200" s="470"/>
    </row>
    <row r="201" spans="2:17" x14ac:dyDescent="0.2">
      <c r="B201" s="498"/>
      <c r="C201" s="500" t="s">
        <v>139</v>
      </c>
      <c r="D201" s="500"/>
      <c r="E201" s="500"/>
      <c r="F201" s="500"/>
      <c r="G201" s="500"/>
      <c r="H201" s="500"/>
      <c r="I201" s="500"/>
      <c r="J201" s="500"/>
      <c r="K201" s="501"/>
    </row>
    <row r="202" spans="2:17" ht="14.25" customHeight="1" x14ac:dyDescent="0.2">
      <c r="B202" s="498"/>
      <c r="C202" s="299">
        <v>2</v>
      </c>
      <c r="D202" s="28">
        <v>25002002</v>
      </c>
      <c r="E202" s="51" t="s">
        <v>140</v>
      </c>
      <c r="F202" s="11">
        <f>IF(' جهات'!G439+' جهات'!G465&gt;0,' جهات'!G439+' جهات'!G465,"")</f>
        <v>68000</v>
      </c>
      <c r="G202" s="11">
        <f>IF(' جهات'!H439+' جهات'!H465&gt;0,' جهات'!H439+' جهات'!H465,"")</f>
        <v>68000</v>
      </c>
      <c r="H202" s="11" t="str">
        <f>IF(' جهات'!I439+' جهات'!I465&gt;0,' جهات'!I439+' جهات'!I465,"")</f>
        <v/>
      </c>
      <c r="I202" s="11" t="str">
        <f>IF(' جهات'!J439+' جهات'!J465&gt;0,' جهات'!J439+' جهات'!J465,"")</f>
        <v/>
      </c>
      <c r="J202" s="137">
        <f>IF(' جهات'!K439+' جهات'!K465&gt;0,' جهات'!K439+' جهات'!K465,"")</f>
        <v>100000</v>
      </c>
      <c r="K202" s="112">
        <f>IFERROR(J202/F202,"")</f>
        <v>1.4705882352941178</v>
      </c>
    </row>
    <row r="203" spans="2:17" x14ac:dyDescent="0.2">
      <c r="B203" s="498"/>
      <c r="C203" s="497" t="s">
        <v>23</v>
      </c>
      <c r="D203" s="497"/>
      <c r="E203" s="497"/>
      <c r="F203" s="149">
        <f>SUM(F202)</f>
        <v>68000</v>
      </c>
      <c r="G203" s="149">
        <f t="shared" ref="G203:H203" si="50">SUM(G202)</f>
        <v>68000</v>
      </c>
      <c r="H203" s="149">
        <f t="shared" si="50"/>
        <v>0</v>
      </c>
      <c r="I203" s="149">
        <f t="shared" ref="I203:J203" si="51">SUM(I202)</f>
        <v>0</v>
      </c>
      <c r="J203" s="149">
        <f t="shared" si="51"/>
        <v>100000</v>
      </c>
      <c r="K203" s="112">
        <f>IFERROR(J203/F203,"")</f>
        <v>1.4705882352941178</v>
      </c>
    </row>
    <row r="204" spans="2:17" x14ac:dyDescent="0.2">
      <c r="B204" s="432" t="s">
        <v>680</v>
      </c>
      <c r="C204" s="433"/>
      <c r="D204" s="433"/>
      <c r="E204" s="433"/>
      <c r="F204" s="150">
        <f>F203</f>
        <v>68000</v>
      </c>
      <c r="G204" s="150">
        <f t="shared" ref="G204:J204" si="52">G203</f>
        <v>68000</v>
      </c>
      <c r="H204" s="150">
        <f t="shared" si="52"/>
        <v>0</v>
      </c>
      <c r="I204" s="150">
        <f t="shared" si="52"/>
        <v>0</v>
      </c>
      <c r="J204" s="150">
        <f t="shared" si="52"/>
        <v>100000</v>
      </c>
      <c r="K204" s="112">
        <f>IFERROR(J204/F204,"")</f>
        <v>1.4705882352941178</v>
      </c>
    </row>
    <row r="205" spans="2:17" x14ac:dyDescent="0.2">
      <c r="B205" s="482" t="s">
        <v>141</v>
      </c>
      <c r="C205" s="483"/>
      <c r="D205" s="483"/>
      <c r="E205" s="483"/>
      <c r="F205" s="140">
        <f>F32+F49+F84+F122+F161+F189+F194+F199+F204</f>
        <v>30240863</v>
      </c>
      <c r="G205" s="140">
        <f>G32+G49+G84+G122+G161+G189+G194+G199+G204</f>
        <v>31022863</v>
      </c>
      <c r="H205" s="140">
        <f>H32+H49+H84+H122+H161+H189+H194+H199+H204</f>
        <v>28171808.677999999</v>
      </c>
      <c r="I205" s="140">
        <f>I32+I49+I84+I122+I161+I189+I194+I199+I204</f>
        <v>1018108.5659999999</v>
      </c>
      <c r="J205" s="140">
        <f>J32+J49+J84+J122+J161+J189+J194+J199+J204</f>
        <v>31092000</v>
      </c>
      <c r="K205" s="112">
        <f>IFERROR(J205/F205,"")</f>
        <v>1.0281452615952131</v>
      </c>
      <c r="M205" s="11">
        <f>F205+F413+F367</f>
        <v>33360863</v>
      </c>
      <c r="N205" s="11">
        <f>G205+G413+G367</f>
        <v>33360863</v>
      </c>
      <c r="O205" s="11">
        <f>H205+H413+H367</f>
        <v>29725195.377999999</v>
      </c>
      <c r="P205" s="11" t="e">
        <f>I205+I413+I367</f>
        <v>#VALUE!</v>
      </c>
      <c r="Q205" s="11">
        <f>J205+J413+J367</f>
        <v>34492000</v>
      </c>
    </row>
    <row r="206" spans="2:17" x14ac:dyDescent="0.2">
      <c r="B206" s="407" t="s">
        <v>284</v>
      </c>
      <c r="C206" s="408"/>
      <c r="D206" s="408"/>
      <c r="E206" s="408"/>
      <c r="F206" s="408"/>
      <c r="G206" s="408"/>
      <c r="H206" s="408"/>
      <c r="I206" s="408"/>
      <c r="J206" s="408"/>
      <c r="K206" s="409"/>
    </row>
    <row r="207" spans="2:17" x14ac:dyDescent="0.2">
      <c r="B207" s="468" t="s">
        <v>523</v>
      </c>
      <c r="C207" s="469"/>
      <c r="D207" s="469"/>
      <c r="E207" s="469"/>
      <c r="F207" s="469"/>
      <c r="G207" s="469"/>
      <c r="H207" s="469"/>
      <c r="I207" s="469"/>
      <c r="J207" s="469"/>
      <c r="K207" s="470"/>
    </row>
    <row r="208" spans="2:17" x14ac:dyDescent="0.2">
      <c r="B208" s="498">
        <v>51</v>
      </c>
      <c r="C208" s="500" t="s">
        <v>290</v>
      </c>
      <c r="D208" s="500"/>
      <c r="E208" s="500"/>
      <c r="F208" s="500"/>
      <c r="G208" s="500"/>
      <c r="H208" s="500"/>
      <c r="I208" s="500"/>
      <c r="J208" s="500"/>
      <c r="K208" s="501"/>
    </row>
    <row r="209" spans="2:11" ht="14.25" customHeight="1" x14ac:dyDescent="0.2">
      <c r="B209" s="498"/>
      <c r="C209" s="499">
        <v>1</v>
      </c>
      <c r="D209" s="28">
        <v>25101001</v>
      </c>
      <c r="E209" s="51" t="s">
        <v>90</v>
      </c>
      <c r="F209" s="11">
        <f>IF(' جهات'!G168&gt;0,' جهات'!G168,"")</f>
        <v>40000</v>
      </c>
      <c r="G209" s="11">
        <f>IF(' جهات'!H168&gt;0,' جهات'!H168,"")</f>
        <v>500</v>
      </c>
      <c r="H209" s="11" t="str">
        <f>IF(' جهات'!I168&gt;0,' جهات'!I168,"")</f>
        <v/>
      </c>
      <c r="I209" s="11" t="str">
        <f>IF(' جهات'!J168&gt;0,' جهات'!J168,"")</f>
        <v/>
      </c>
      <c r="J209" s="137">
        <f>IF(' جهات'!K168&gt;0,' جهات'!K168,"")</f>
        <v>100000</v>
      </c>
      <c r="K209" s="112">
        <f t="shared" ref="K209:K215" si="53">IFERROR(J209/F209,"")</f>
        <v>2.5</v>
      </c>
    </row>
    <row r="210" spans="2:11" ht="14.25" customHeight="1" x14ac:dyDescent="0.2">
      <c r="B210" s="498"/>
      <c r="C210" s="499"/>
      <c r="D210" s="29">
        <v>25101002</v>
      </c>
      <c r="E210" s="179" t="s">
        <v>91</v>
      </c>
      <c r="F210" s="11">
        <f>IF(' جهات'!G169&gt;0,' جهات'!G169,"")</f>
        <v>20000</v>
      </c>
      <c r="G210" s="11">
        <f>IF(' جهات'!H169&gt;0,' جهات'!H169,"")</f>
        <v>15000</v>
      </c>
      <c r="H210" s="11">
        <f>IF(' جهات'!I169&gt;0,' جهات'!I169,"")</f>
        <v>14887</v>
      </c>
      <c r="I210" s="11" t="str">
        <f>IF(' جهات'!J169&gt;0,' جهات'!J169,"")</f>
        <v/>
      </c>
      <c r="J210" s="137">
        <f>IF(' جهات'!K169&gt;0,' جهات'!K169,"")</f>
        <v>60000</v>
      </c>
      <c r="K210" s="112">
        <f t="shared" si="53"/>
        <v>3</v>
      </c>
    </row>
    <row r="211" spans="2:11" ht="14.25" customHeight="1" x14ac:dyDescent="0.2">
      <c r="B211" s="498"/>
      <c r="C211" s="499"/>
      <c r="D211" s="29">
        <v>25101007</v>
      </c>
      <c r="E211" s="179" t="s">
        <v>93</v>
      </c>
      <c r="F211" s="11">
        <f>IF(' جهات'!G405&gt;0,+' جهات'!G405,"")</f>
        <v>400000</v>
      </c>
      <c r="G211" s="11">
        <f>IF(' جهات'!H405&gt;0,+' جهات'!H405,"")</f>
        <v>533000</v>
      </c>
      <c r="H211" s="11">
        <f>IF(' جهات'!I405&gt;0,+' جهات'!I405,"")</f>
        <v>532589.48400000005</v>
      </c>
      <c r="I211" s="11" t="str">
        <f>IF(' جهات'!J405&gt;0,+' جهات'!J405,"")</f>
        <v/>
      </c>
      <c r="J211" s="137">
        <f>IF(' جهات'!K405&gt;0,+' جهات'!K405,"")</f>
        <v>300000</v>
      </c>
      <c r="K211" s="112">
        <f t="shared" si="53"/>
        <v>0.75</v>
      </c>
    </row>
    <row r="212" spans="2:11" ht="14.25" customHeight="1" x14ac:dyDescent="0.2">
      <c r="B212" s="498"/>
      <c r="C212" s="499"/>
      <c r="D212" s="29">
        <v>25101008</v>
      </c>
      <c r="E212" s="179" t="s">
        <v>94</v>
      </c>
      <c r="F212" s="11">
        <f>IF(' جهات'!G406&gt;0,+' جهات'!G406,"")</f>
        <v>150000</v>
      </c>
      <c r="G212" s="11">
        <f>IF(' جهات'!H406&gt;0,+' جهات'!H406,"")</f>
        <v>225000</v>
      </c>
      <c r="H212" s="11">
        <f>IF(' جهات'!I406&gt;0,+' جهات'!I406,"")</f>
        <v>191658</v>
      </c>
      <c r="I212" s="11" t="str">
        <f>IF(' جهات'!J406&gt;0,+' جهات'!J406,"")</f>
        <v/>
      </c>
      <c r="J212" s="137">
        <f>IF(' جهات'!K406&gt;0,+' جهات'!K406,"")</f>
        <v>150000</v>
      </c>
      <c r="K212" s="112">
        <f t="shared" si="53"/>
        <v>1</v>
      </c>
    </row>
    <row r="213" spans="2:11" ht="14.25" customHeight="1" x14ac:dyDescent="0.2">
      <c r="B213" s="498"/>
      <c r="C213" s="499"/>
      <c r="D213" s="17">
        <v>25101009</v>
      </c>
      <c r="E213" s="50" t="s">
        <v>449</v>
      </c>
      <c r="F213" s="11">
        <f>IF(' جهات'!G407&gt;0,+' جهات'!G407,"")</f>
        <v>180000</v>
      </c>
      <c r="G213" s="11">
        <f>IF(' جهات'!H407&gt;0,+' جهات'!H407,"")</f>
        <v>205000</v>
      </c>
      <c r="H213" s="11">
        <f>IF(' جهات'!I407&gt;0,+' جهات'!I407,"")</f>
        <v>203192</v>
      </c>
      <c r="I213" s="11" t="str">
        <f>IF(' جهات'!J407&gt;0,+' جهات'!J407,"")</f>
        <v/>
      </c>
      <c r="J213" s="137">
        <f>IF(' جهات'!K407&gt;0,+' جهات'!K407,"")</f>
        <v>180000</v>
      </c>
      <c r="K213" s="112">
        <f t="shared" si="53"/>
        <v>1</v>
      </c>
    </row>
    <row r="214" spans="2:11" ht="14.25" customHeight="1" x14ac:dyDescent="0.2">
      <c r="B214" s="498"/>
      <c r="C214" s="499"/>
      <c r="D214" s="29">
        <v>25101011</v>
      </c>
      <c r="E214" s="179" t="s">
        <v>102</v>
      </c>
      <c r="F214" s="11">
        <f>IF(' جهات'!G30&gt;0,' جهات'!G30,"")</f>
        <v>30000</v>
      </c>
      <c r="G214" s="11">
        <f>IF(' جهات'!H30&gt;0,' جهات'!H30,"")</f>
        <v>30000</v>
      </c>
      <c r="H214" s="11">
        <f>IF(' جهات'!I30&gt;0,' جهات'!I30,"")</f>
        <v>25562.806</v>
      </c>
      <c r="I214" s="11" t="str">
        <f>IF(' جهات'!J30&gt;0,' جهات'!J30,"")</f>
        <v/>
      </c>
      <c r="J214" s="137">
        <f>IF(' جهات'!K30&gt;0,' جهات'!K30,"")</f>
        <v>30000</v>
      </c>
      <c r="K214" s="112">
        <f t="shared" si="53"/>
        <v>1</v>
      </c>
    </row>
    <row r="215" spans="2:11" x14ac:dyDescent="0.2">
      <c r="B215" s="498"/>
      <c r="C215" s="497" t="s">
        <v>23</v>
      </c>
      <c r="D215" s="497"/>
      <c r="E215" s="497"/>
      <c r="F215" s="149">
        <f>SUM(F209:F214)</f>
        <v>820000</v>
      </c>
      <c r="G215" s="149">
        <f>SUM(G209:G214)</f>
        <v>1008500</v>
      </c>
      <c r="H215" s="149">
        <f>SUM(H209:H214)</f>
        <v>967889.29</v>
      </c>
      <c r="I215" s="149">
        <f t="shared" ref="I215" si="54">SUM(I209:I214)</f>
        <v>0</v>
      </c>
      <c r="J215" s="149">
        <f>SUM(J209:J214)</f>
        <v>820000</v>
      </c>
      <c r="K215" s="112">
        <f t="shared" si="53"/>
        <v>1</v>
      </c>
    </row>
    <row r="216" spans="2:11" s="46" customFormat="1" x14ac:dyDescent="0.2">
      <c r="B216" s="498"/>
      <c r="C216" s="523" t="s">
        <v>525</v>
      </c>
      <c r="D216" s="523"/>
      <c r="E216" s="523"/>
      <c r="F216" s="523"/>
      <c r="G216" s="523"/>
      <c r="H216" s="523"/>
      <c r="I216" s="523"/>
      <c r="J216" s="523"/>
      <c r="K216" s="524"/>
    </row>
    <row r="217" spans="2:11" s="46" customFormat="1" x14ac:dyDescent="0.2">
      <c r="B217" s="498"/>
      <c r="C217" s="299">
        <v>2</v>
      </c>
      <c r="D217" s="121">
        <v>25102001</v>
      </c>
      <c r="E217" s="57" t="s">
        <v>515</v>
      </c>
      <c r="F217" s="65" t="str">
        <f>IF(' جهات'!G170&gt;0,' جهات'!G170,"")</f>
        <v/>
      </c>
      <c r="G217" s="65" t="str">
        <f>IF(' جهات'!H170&gt;0,' جهات'!H170,"")</f>
        <v/>
      </c>
      <c r="H217" s="65" t="str">
        <f>IF(' جهات'!I170&gt;0,' جهات'!I170,"")</f>
        <v/>
      </c>
      <c r="I217" s="65" t="str">
        <f>IF(' جهات'!J170&gt;0,' جهات'!J170,"")</f>
        <v/>
      </c>
      <c r="J217" s="137">
        <f>IF(' جهات'!K170&gt;0,' جهات'!K170,"")</f>
        <v>15000</v>
      </c>
      <c r="K217" s="112" t="str">
        <f>IFERROR(J217/F217,"")</f>
        <v/>
      </c>
    </row>
    <row r="218" spans="2:11" s="46" customFormat="1" x14ac:dyDescent="0.2">
      <c r="B218" s="498"/>
      <c r="C218" s="497" t="s">
        <v>23</v>
      </c>
      <c r="D218" s="497"/>
      <c r="E218" s="497"/>
      <c r="F218" s="149">
        <f>SUM(F217)</f>
        <v>0</v>
      </c>
      <c r="G218" s="149">
        <f t="shared" ref="G218:I218" si="55">SUM(G217)</f>
        <v>0</v>
      </c>
      <c r="H218" s="149">
        <f t="shared" si="55"/>
        <v>0</v>
      </c>
      <c r="I218" s="149">
        <f t="shared" si="55"/>
        <v>0</v>
      </c>
      <c r="J218" s="149">
        <f>SUM(J217)</f>
        <v>15000</v>
      </c>
      <c r="K218" s="112" t="str">
        <f>IFERROR(J218/F218,"")</f>
        <v/>
      </c>
    </row>
    <row r="219" spans="2:11" x14ac:dyDescent="0.2">
      <c r="B219" s="432" t="s">
        <v>524</v>
      </c>
      <c r="C219" s="433"/>
      <c r="D219" s="433"/>
      <c r="E219" s="433"/>
      <c r="F219" s="150">
        <f>F215+F218</f>
        <v>820000</v>
      </c>
      <c r="G219" s="150">
        <f t="shared" ref="G219:I219" si="56">G215+G218</f>
        <v>1008500</v>
      </c>
      <c r="H219" s="150">
        <f t="shared" si="56"/>
        <v>967889.29</v>
      </c>
      <c r="I219" s="150">
        <f t="shared" si="56"/>
        <v>0</v>
      </c>
      <c r="J219" s="150">
        <f>J215+J218</f>
        <v>835000</v>
      </c>
      <c r="K219" s="112">
        <f>IFERROR(J219/F219,"")</f>
        <v>1.0182926829268293</v>
      </c>
    </row>
    <row r="220" spans="2:11" x14ac:dyDescent="0.2">
      <c r="B220" s="468" t="s">
        <v>289</v>
      </c>
      <c r="C220" s="469"/>
      <c r="D220" s="469"/>
      <c r="E220" s="469"/>
      <c r="F220" s="469"/>
      <c r="G220" s="469"/>
      <c r="H220" s="469"/>
      <c r="I220" s="469"/>
      <c r="J220" s="469"/>
      <c r="K220" s="470"/>
    </row>
    <row r="221" spans="2:11" x14ac:dyDescent="0.2">
      <c r="B221" s="498">
        <v>52</v>
      </c>
      <c r="C221" s="500" t="s">
        <v>286</v>
      </c>
      <c r="D221" s="500"/>
      <c r="E221" s="500"/>
      <c r="F221" s="500"/>
      <c r="G221" s="500"/>
      <c r="H221" s="500"/>
      <c r="I221" s="500"/>
      <c r="J221" s="500"/>
      <c r="K221" s="501"/>
    </row>
    <row r="222" spans="2:11" ht="14.25" customHeight="1" x14ac:dyDescent="0.2">
      <c r="B222" s="498"/>
      <c r="C222" s="499">
        <v>1</v>
      </c>
      <c r="D222" s="29">
        <v>25201004</v>
      </c>
      <c r="E222" s="179" t="s">
        <v>96</v>
      </c>
      <c r="F222" s="11">
        <f>IF(' جهات'!G161&gt;0,' جهات'!G161,"")</f>
        <v>5000</v>
      </c>
      <c r="G222" s="11" t="str">
        <f>IF(' جهات'!H161&gt;0,' جهات'!H161,"")</f>
        <v/>
      </c>
      <c r="H222" s="11" t="str">
        <f>IF(' جهات'!I161&gt;0,' جهات'!I161,"")</f>
        <v/>
      </c>
      <c r="I222" s="11" t="str">
        <f>IF(' جهات'!J161&gt;0,' جهات'!J161,"")</f>
        <v/>
      </c>
      <c r="J222" s="137">
        <f>IF(' جهات'!K161&gt;0,' جهات'!K161,"")</f>
        <v>5000</v>
      </c>
      <c r="K222" s="112">
        <f>IFERROR(J222/F222,"")</f>
        <v>1</v>
      </c>
    </row>
    <row r="223" spans="2:11" ht="14.25" customHeight="1" x14ac:dyDescent="0.2">
      <c r="B223" s="498"/>
      <c r="C223" s="499"/>
      <c r="D223" s="29">
        <v>25201005</v>
      </c>
      <c r="E223" s="177" t="s">
        <v>92</v>
      </c>
      <c r="F223" s="11">
        <f>IF(' جهات'!G162&gt;0,' جهات'!G162,"")</f>
        <v>1000</v>
      </c>
      <c r="G223" s="11">
        <f>IF(' جهات'!H162&gt;0,' جهات'!H162,"")</f>
        <v>10500</v>
      </c>
      <c r="H223" s="11">
        <f>IF(' جهات'!I162&gt;0,' جهات'!I162,"")</f>
        <v>2897.44</v>
      </c>
      <c r="I223" s="11">
        <f>IF(' جهات'!J162&gt;0,' جهات'!J162,"")</f>
        <v>6152.56</v>
      </c>
      <c r="J223" s="137">
        <f>IF(' جهات'!K162&gt;0,' جهات'!K162,"")</f>
        <v>10000</v>
      </c>
      <c r="K223" s="112">
        <f>IFERROR(J223/F223,"")</f>
        <v>10</v>
      </c>
    </row>
    <row r="224" spans="2:11" x14ac:dyDescent="0.2">
      <c r="B224" s="498"/>
      <c r="C224" s="497" t="s">
        <v>23</v>
      </c>
      <c r="D224" s="497"/>
      <c r="E224" s="497"/>
      <c r="F224" s="149">
        <f>SUM(F222:F223)</f>
        <v>6000</v>
      </c>
      <c r="G224" s="149">
        <f>SUM(G222:G223)</f>
        <v>10500</v>
      </c>
      <c r="H224" s="149">
        <f t="shared" ref="H224:I224" si="57">SUM(H222:H223)</f>
        <v>2897.44</v>
      </c>
      <c r="I224" s="149">
        <f t="shared" si="57"/>
        <v>6152.56</v>
      </c>
      <c r="J224" s="149">
        <f>SUM(J222:J223)</f>
        <v>15000</v>
      </c>
      <c r="K224" s="112">
        <f>IFERROR(J224/F224,"")</f>
        <v>2.5</v>
      </c>
    </row>
    <row r="225" spans="2:11" x14ac:dyDescent="0.2">
      <c r="B225" s="432" t="s">
        <v>287</v>
      </c>
      <c r="C225" s="433"/>
      <c r="D225" s="433"/>
      <c r="E225" s="433"/>
      <c r="F225" s="150">
        <f>F224</f>
        <v>6000</v>
      </c>
      <c r="G225" s="150">
        <f t="shared" ref="G225:J225" si="58">G224</f>
        <v>10500</v>
      </c>
      <c r="H225" s="150">
        <f t="shared" si="58"/>
        <v>2897.44</v>
      </c>
      <c r="I225" s="150">
        <f t="shared" si="58"/>
        <v>6152.56</v>
      </c>
      <c r="J225" s="150">
        <f t="shared" si="58"/>
        <v>15000</v>
      </c>
      <c r="K225" s="112">
        <f>IFERROR(J225/F225,"")</f>
        <v>2.5</v>
      </c>
    </row>
    <row r="226" spans="2:11" x14ac:dyDescent="0.2">
      <c r="B226" s="468" t="s">
        <v>288</v>
      </c>
      <c r="C226" s="469"/>
      <c r="D226" s="469"/>
      <c r="E226" s="469"/>
      <c r="F226" s="469"/>
      <c r="G226" s="469"/>
      <c r="H226" s="469"/>
      <c r="I226" s="469"/>
      <c r="J226" s="469"/>
      <c r="K226" s="470"/>
    </row>
    <row r="227" spans="2:11" x14ac:dyDescent="0.2">
      <c r="B227" s="498">
        <v>53</v>
      </c>
      <c r="C227" s="500" t="s">
        <v>291</v>
      </c>
      <c r="D227" s="500"/>
      <c r="E227" s="500"/>
      <c r="F227" s="500"/>
      <c r="G227" s="500"/>
      <c r="H227" s="500"/>
      <c r="I227" s="500"/>
      <c r="J227" s="500"/>
      <c r="K227" s="501"/>
    </row>
    <row r="228" spans="2:11" ht="14.25" customHeight="1" x14ac:dyDescent="0.2">
      <c r="B228" s="498"/>
      <c r="C228" s="499">
        <v>1</v>
      </c>
      <c r="D228" s="28">
        <v>25301001</v>
      </c>
      <c r="E228" s="51" t="s">
        <v>97</v>
      </c>
      <c r="F228" s="11">
        <f>IF(' جهات'!G171&gt;0,' جهات'!G171,"")</f>
        <v>29000</v>
      </c>
      <c r="G228" s="11">
        <f>IF(' جهات'!H171&gt;0,' جهات'!H171,"")</f>
        <v>3000</v>
      </c>
      <c r="H228" s="11" t="str">
        <f>IF(' جهات'!I171&gt;0,' جهات'!I171,"")</f>
        <v/>
      </c>
      <c r="I228" s="11">
        <f>IF(' جهات'!J171&gt;0,' جهات'!J171,"")</f>
        <v>2508</v>
      </c>
      <c r="J228" s="137">
        <f>IF(' جهات'!K171&gt;0,' جهات'!K171,"")</f>
        <v>100000</v>
      </c>
      <c r="K228" s="112">
        <f t="shared" ref="K228:K233" si="59">IFERROR(J228/F228,"")</f>
        <v>3.4482758620689653</v>
      </c>
    </row>
    <row r="229" spans="2:11" ht="14.25" customHeight="1" x14ac:dyDescent="0.2">
      <c r="B229" s="498"/>
      <c r="C229" s="499"/>
      <c r="D229" s="28">
        <v>25301002</v>
      </c>
      <c r="E229" s="51" t="s">
        <v>98</v>
      </c>
      <c r="F229" s="11">
        <f>IF(' جهات'!G172+' جهات'!G151&gt;0,' جهات'!G172+' جهات'!G151,"")</f>
        <v>16000</v>
      </c>
      <c r="G229" s="11">
        <f>IF(' جهات'!H172+' جهات'!H151&gt;0,' جهات'!H172+' جهات'!H151,"")</f>
        <v>10000</v>
      </c>
      <c r="H229" s="11" t="str">
        <f>IF(' جهات'!I172+' جهات'!I151&gt;0,' جهات'!I172+' جهات'!I151,"")</f>
        <v/>
      </c>
      <c r="I229" s="11" t="str">
        <f>IF(' جهات'!J172+' جهات'!J151&gt;0,' جهات'!J172+' جهات'!J151,"")</f>
        <v/>
      </c>
      <c r="J229" s="137">
        <f>IF(' جهات'!K172+' جهات'!K151&gt;0,' جهات'!K172+' جهات'!K151,"")</f>
        <v>20000</v>
      </c>
      <c r="K229" s="112">
        <f t="shared" si="59"/>
        <v>1.25</v>
      </c>
    </row>
    <row r="230" spans="2:11" ht="14.25" customHeight="1" x14ac:dyDescent="0.2">
      <c r="B230" s="498"/>
      <c r="C230" s="499"/>
      <c r="D230" s="28">
        <v>25301003</v>
      </c>
      <c r="E230" s="51" t="s">
        <v>99</v>
      </c>
      <c r="F230" s="11">
        <f>IF(' جهات'!G173&gt;0,' جهات'!G173,"")</f>
        <v>6000</v>
      </c>
      <c r="G230" s="11" t="str">
        <f>IF(' جهات'!H173&gt;0,' جهات'!H173,"")</f>
        <v/>
      </c>
      <c r="H230" s="11" t="str">
        <f>IF(' جهات'!I173&gt;0,' جهات'!I173,"")</f>
        <v/>
      </c>
      <c r="I230" s="11" t="str">
        <f>IF(' جهات'!J173&gt;0,' جهات'!J173,"")</f>
        <v/>
      </c>
      <c r="J230" s="137">
        <f>IF(' جهات'!K173&gt;0,' جهات'!K173,"")</f>
        <v>10000</v>
      </c>
      <c r="K230" s="112">
        <f t="shared" si="59"/>
        <v>1.6666666666666667</v>
      </c>
    </row>
    <row r="231" spans="2:11" s="46" customFormat="1" ht="14.25" customHeight="1" x14ac:dyDescent="0.2">
      <c r="B231" s="498"/>
      <c r="C231" s="499"/>
      <c r="D231" s="121"/>
      <c r="E231" s="57" t="s">
        <v>510</v>
      </c>
      <c r="F231" s="65" t="str">
        <f>IF(' جهات'!G51&gt;0,' جهات'!G51,"")</f>
        <v/>
      </c>
      <c r="G231" s="65" t="str">
        <f>IF(' جهات'!H51&gt;0,' جهات'!H51,"")</f>
        <v/>
      </c>
      <c r="H231" s="65" t="str">
        <f>IF(' جهات'!I51&gt;0,' جهات'!I51,"")</f>
        <v/>
      </c>
      <c r="I231" s="65" t="str">
        <f>IF(' جهات'!J51&gt;0,' جهات'!J51,"")</f>
        <v/>
      </c>
      <c r="J231" s="137">
        <f>IF(' جهات'!K51&gt;0,' جهات'!K51,"")</f>
        <v>1000</v>
      </c>
      <c r="K231" s="112" t="str">
        <f t="shared" si="59"/>
        <v/>
      </c>
    </row>
    <row r="232" spans="2:11" x14ac:dyDescent="0.2">
      <c r="B232" s="498"/>
      <c r="C232" s="497" t="s">
        <v>23</v>
      </c>
      <c r="D232" s="497"/>
      <c r="E232" s="497"/>
      <c r="F232" s="149">
        <f t="shared" ref="F232:I232" si="60">SUM(F228:F231)</f>
        <v>51000</v>
      </c>
      <c r="G232" s="149">
        <f t="shared" si="60"/>
        <v>13000</v>
      </c>
      <c r="H232" s="149">
        <f t="shared" si="60"/>
        <v>0</v>
      </c>
      <c r="I232" s="149">
        <f t="shared" si="60"/>
        <v>2508</v>
      </c>
      <c r="J232" s="149">
        <f>SUM(J228:J231)</f>
        <v>131000</v>
      </c>
      <c r="K232" s="112">
        <f t="shared" si="59"/>
        <v>2.5686274509803924</v>
      </c>
    </row>
    <row r="233" spans="2:11" x14ac:dyDescent="0.2">
      <c r="B233" s="432" t="s">
        <v>292</v>
      </c>
      <c r="C233" s="433"/>
      <c r="D233" s="433"/>
      <c r="E233" s="433"/>
      <c r="F233" s="150">
        <f>F232</f>
        <v>51000</v>
      </c>
      <c r="G233" s="150">
        <f t="shared" ref="G233:I233" si="61">G232</f>
        <v>13000</v>
      </c>
      <c r="H233" s="150">
        <f t="shared" si="61"/>
        <v>0</v>
      </c>
      <c r="I233" s="150">
        <f t="shared" si="61"/>
        <v>2508</v>
      </c>
      <c r="J233" s="150">
        <f>J232</f>
        <v>131000</v>
      </c>
      <c r="K233" s="112">
        <f t="shared" si="59"/>
        <v>2.5686274509803924</v>
      </c>
    </row>
    <row r="234" spans="2:11" x14ac:dyDescent="0.2">
      <c r="B234" s="468" t="s">
        <v>285</v>
      </c>
      <c r="C234" s="469"/>
      <c r="D234" s="469"/>
      <c r="E234" s="469"/>
      <c r="F234" s="469"/>
      <c r="G234" s="469"/>
      <c r="H234" s="469"/>
      <c r="I234" s="469"/>
      <c r="J234" s="469"/>
      <c r="K234" s="470"/>
    </row>
    <row r="235" spans="2:11" x14ac:dyDescent="0.2">
      <c r="B235" s="498">
        <v>54</v>
      </c>
      <c r="C235" s="500" t="s">
        <v>293</v>
      </c>
      <c r="D235" s="500"/>
      <c r="E235" s="500"/>
      <c r="F235" s="500"/>
      <c r="G235" s="500"/>
      <c r="H235" s="500"/>
      <c r="I235" s="500"/>
      <c r="J235" s="500"/>
      <c r="K235" s="501"/>
    </row>
    <row r="236" spans="2:11" ht="14.25" customHeight="1" x14ac:dyDescent="0.2">
      <c r="B236" s="498"/>
      <c r="C236" s="499">
        <v>1</v>
      </c>
      <c r="D236" s="28">
        <v>25401001</v>
      </c>
      <c r="E236" s="51" t="s">
        <v>245</v>
      </c>
      <c r="F236" s="11">
        <f>IF(' جهات'!G174&gt;0,' جهات'!G174,"")</f>
        <v>25000</v>
      </c>
      <c r="G236" s="11">
        <f>IF(' جهات'!H174&gt;0,' جهات'!H174,"")</f>
        <v>20000</v>
      </c>
      <c r="H236" s="11">
        <f>IF(' جهات'!I174&gt;0,' جهات'!I174,"")</f>
        <v>18650</v>
      </c>
      <c r="I236" s="11" t="str">
        <f>IF(' جهات'!J174&gt;0,' جهات'!J174,"")</f>
        <v/>
      </c>
      <c r="J236" s="137">
        <f>IF(' جهات'!K174&gt;0,' جهات'!K174,"")</f>
        <v>20000</v>
      </c>
      <c r="K236" s="112">
        <f t="shared" ref="K236:K242" si="62">IFERROR(J236/F236,"")</f>
        <v>0.8</v>
      </c>
    </row>
    <row r="237" spans="2:11" ht="14.25" customHeight="1" x14ac:dyDescent="0.2">
      <c r="B237" s="498"/>
      <c r="C237" s="499"/>
      <c r="D237" s="28">
        <v>25401002</v>
      </c>
      <c r="E237" s="51" t="s">
        <v>100</v>
      </c>
      <c r="F237" s="11">
        <f>IF(' جهات'!G175&gt;0,' جهات'!G175,"")</f>
        <v>1000</v>
      </c>
      <c r="G237" s="11">
        <f>IF(' جهات'!H175&gt;0,' جهات'!H175,"")</f>
        <v>500</v>
      </c>
      <c r="H237" s="11" t="str">
        <f>IF(' جهات'!I175&gt;0,' جهات'!I175,"")</f>
        <v/>
      </c>
      <c r="I237" s="11" t="str">
        <f>IF(' جهات'!J175&gt;0,' جهات'!J175,"")</f>
        <v/>
      </c>
      <c r="J237" s="137">
        <f>IF(' جهات'!K175&gt;0,' جهات'!K175,"")</f>
        <v>1000</v>
      </c>
      <c r="K237" s="112">
        <f t="shared" si="62"/>
        <v>1</v>
      </c>
    </row>
    <row r="238" spans="2:11" ht="14.25" customHeight="1" x14ac:dyDescent="0.2">
      <c r="B238" s="498"/>
      <c r="C238" s="499"/>
      <c r="D238" s="28">
        <v>25401003</v>
      </c>
      <c r="E238" s="51" t="s">
        <v>101</v>
      </c>
      <c r="F238" s="11">
        <f>IF(' جهات'!G176&gt;0,' جهات'!G176,"")</f>
        <v>1000</v>
      </c>
      <c r="G238" s="11">
        <f>IF(' جهات'!H176&gt;0,' جهات'!H176,"")</f>
        <v>1000</v>
      </c>
      <c r="H238" s="11" t="str">
        <f>IF(' جهات'!I176&gt;0,' جهات'!I176,"")</f>
        <v/>
      </c>
      <c r="I238" s="11" t="str">
        <f>IF(' جهات'!J176&gt;0,' جهات'!J176,"")</f>
        <v/>
      </c>
      <c r="J238" s="137">
        <f>IF(' جهات'!K176&gt;0,' جهات'!K176,"")</f>
        <v>1000</v>
      </c>
      <c r="K238" s="112">
        <f t="shared" si="62"/>
        <v>1</v>
      </c>
    </row>
    <row r="239" spans="2:11" ht="14.25" customHeight="1" x14ac:dyDescent="0.2">
      <c r="B239" s="498"/>
      <c r="C239" s="499"/>
      <c r="D239" s="28">
        <v>25401005</v>
      </c>
      <c r="E239" s="51" t="s">
        <v>103</v>
      </c>
      <c r="F239" s="11">
        <f>IF(' جهات'!G177&gt;0,' جهات'!G177,"")</f>
        <v>25000</v>
      </c>
      <c r="G239" s="11">
        <f>IF(' جهات'!H177&gt;0,' جهات'!H177,"")</f>
        <v>35500</v>
      </c>
      <c r="H239" s="11">
        <f>IF(' جهات'!I177&gt;0,' جهات'!I177,"")</f>
        <v>29277.5</v>
      </c>
      <c r="I239" s="11">
        <f>IF(' جهات'!J177&gt;0,' جهات'!J177,"")</f>
        <v>6000</v>
      </c>
      <c r="J239" s="137">
        <f>IF(' جهات'!K177&gt;0,' جهات'!K177,"")</f>
        <v>25000</v>
      </c>
      <c r="K239" s="112">
        <f t="shared" si="62"/>
        <v>1</v>
      </c>
    </row>
    <row r="240" spans="2:11" ht="14.25" customHeight="1" x14ac:dyDescent="0.2">
      <c r="B240" s="498"/>
      <c r="C240" s="499"/>
      <c r="D240" s="28">
        <v>25401007</v>
      </c>
      <c r="E240" s="51" t="s">
        <v>104</v>
      </c>
      <c r="F240" s="11">
        <f>IF(' جهات'!G42+' جهات'!G16&gt;0,' جهات'!G42+' جهات'!G16,"")</f>
        <v>1000</v>
      </c>
      <c r="G240" s="11">
        <f>IF(' جهات'!H42+' جهات'!H16&gt;0,' جهات'!H42+' جهات'!H16,"")</f>
        <v>1000</v>
      </c>
      <c r="H240" s="11" t="str">
        <f>IF(' جهات'!I42+' جهات'!I16&gt;0,' جهات'!I42+' جهات'!I16,"")</f>
        <v/>
      </c>
      <c r="I240" s="11" t="str">
        <f>IF(' جهات'!J42+' جهات'!J16&gt;0,' جهات'!J42+' جهات'!J16,"")</f>
        <v/>
      </c>
      <c r="J240" s="137">
        <f>IF(' جهات'!K42+' جهات'!K16&gt;0,' جهات'!K42+' جهات'!K16,"")</f>
        <v>500</v>
      </c>
      <c r="K240" s="112">
        <f t="shared" si="62"/>
        <v>0.5</v>
      </c>
    </row>
    <row r="241" spans="2:11" x14ac:dyDescent="0.2">
      <c r="B241" s="498"/>
      <c r="C241" s="497" t="s">
        <v>23</v>
      </c>
      <c r="D241" s="497"/>
      <c r="E241" s="497"/>
      <c r="F241" s="149">
        <f>SUM(F236:F240)</f>
        <v>53000</v>
      </c>
      <c r="G241" s="149">
        <f>SUM(G236:G240)</f>
        <v>58000</v>
      </c>
      <c r="H241" s="149">
        <f>SUM(H236:H240)</f>
        <v>47927.5</v>
      </c>
      <c r="I241" s="149">
        <f t="shared" ref="I241" si="63">SUM(I236:I240)</f>
        <v>6000</v>
      </c>
      <c r="J241" s="149">
        <f>SUM(J236:J240)</f>
        <v>47500</v>
      </c>
      <c r="K241" s="112">
        <f t="shared" si="62"/>
        <v>0.89622641509433965</v>
      </c>
    </row>
    <row r="242" spans="2:11" x14ac:dyDescent="0.2">
      <c r="B242" s="432" t="s">
        <v>294</v>
      </c>
      <c r="C242" s="433"/>
      <c r="D242" s="433"/>
      <c r="E242" s="433"/>
      <c r="F242" s="150">
        <f>F241</f>
        <v>53000</v>
      </c>
      <c r="G242" s="150">
        <f t="shared" ref="G242:J242" si="64">G241</f>
        <v>58000</v>
      </c>
      <c r="H242" s="150">
        <f t="shared" si="64"/>
        <v>47927.5</v>
      </c>
      <c r="I242" s="150">
        <f t="shared" si="64"/>
        <v>6000</v>
      </c>
      <c r="J242" s="150">
        <f t="shared" si="64"/>
        <v>47500</v>
      </c>
      <c r="K242" s="112">
        <f t="shared" si="62"/>
        <v>0.89622641509433965</v>
      </c>
    </row>
    <row r="243" spans="2:11" x14ac:dyDescent="0.2">
      <c r="B243" s="468" t="s">
        <v>295</v>
      </c>
      <c r="C243" s="469"/>
      <c r="D243" s="469"/>
      <c r="E243" s="469"/>
      <c r="F243" s="469"/>
      <c r="G243" s="469"/>
      <c r="H243" s="469"/>
      <c r="I243" s="469"/>
      <c r="J243" s="469"/>
      <c r="K243" s="470"/>
    </row>
    <row r="244" spans="2:11" x14ac:dyDescent="0.2">
      <c r="B244" s="498">
        <v>55</v>
      </c>
      <c r="C244" s="500" t="s">
        <v>296</v>
      </c>
      <c r="D244" s="500"/>
      <c r="E244" s="500"/>
      <c r="F244" s="500"/>
      <c r="G244" s="500"/>
      <c r="H244" s="500"/>
      <c r="I244" s="500"/>
      <c r="J244" s="500"/>
      <c r="K244" s="501"/>
    </row>
    <row r="245" spans="2:11" ht="14.25" customHeight="1" x14ac:dyDescent="0.2">
      <c r="B245" s="498"/>
      <c r="C245" s="299">
        <v>1</v>
      </c>
      <c r="D245" s="28">
        <v>25501001</v>
      </c>
      <c r="E245" s="51" t="s">
        <v>444</v>
      </c>
      <c r="F245" s="11">
        <f>IF(' جهات'!G470&gt;0,' جهات'!G470,"")</f>
        <v>700000</v>
      </c>
      <c r="G245" s="11">
        <f>IF(' جهات'!H470&gt;0,' جهات'!H470,"")</f>
        <v>684000</v>
      </c>
      <c r="H245" s="11">
        <f>IF(' جهات'!I470&gt;0,' جهات'!I470,"")</f>
        <v>267208.53100000002</v>
      </c>
      <c r="I245" s="11">
        <f>IF(' جهات'!J470&gt;0,' جهات'!J470,"")</f>
        <v>415893.59399999998</v>
      </c>
      <c r="J245" s="137">
        <f>IF(' جهات'!K470&gt;0,' جهات'!K470,"")</f>
        <v>620000</v>
      </c>
      <c r="K245" s="112">
        <f>IFERROR(J245/F245,"")</f>
        <v>0.88571428571428568</v>
      </c>
    </row>
    <row r="246" spans="2:11" x14ac:dyDescent="0.2">
      <c r="B246" s="498"/>
      <c r="C246" s="497" t="s">
        <v>23</v>
      </c>
      <c r="D246" s="497"/>
      <c r="E246" s="497"/>
      <c r="F246" s="149">
        <f>SUM(F245:F245)</f>
        <v>700000</v>
      </c>
      <c r="G246" s="149">
        <f t="shared" ref="G246:J246" si="65">SUM(G245:G245)</f>
        <v>684000</v>
      </c>
      <c r="H246" s="149">
        <f t="shared" si="65"/>
        <v>267208.53100000002</v>
      </c>
      <c r="I246" s="149">
        <f t="shared" si="65"/>
        <v>415893.59399999998</v>
      </c>
      <c r="J246" s="149">
        <f t="shared" si="65"/>
        <v>620000</v>
      </c>
      <c r="K246" s="112">
        <f>IFERROR(J246/F246,"")</f>
        <v>0.88571428571428568</v>
      </c>
    </row>
    <row r="247" spans="2:11" x14ac:dyDescent="0.2">
      <c r="B247" s="432" t="s">
        <v>297</v>
      </c>
      <c r="C247" s="433"/>
      <c r="D247" s="433"/>
      <c r="E247" s="433"/>
      <c r="F247" s="150">
        <f>F246</f>
        <v>700000</v>
      </c>
      <c r="G247" s="150">
        <f t="shared" ref="G247:J247" si="66">G246</f>
        <v>684000</v>
      </c>
      <c r="H247" s="150">
        <f t="shared" si="66"/>
        <v>267208.53100000002</v>
      </c>
      <c r="I247" s="150">
        <f t="shared" si="66"/>
        <v>415893.59399999998</v>
      </c>
      <c r="J247" s="150">
        <f t="shared" si="66"/>
        <v>620000</v>
      </c>
      <c r="K247" s="112">
        <f>IFERROR(J247/F247,"")</f>
        <v>0.88571428571428568</v>
      </c>
    </row>
    <row r="248" spans="2:11" x14ac:dyDescent="0.2">
      <c r="B248" s="468" t="s">
        <v>264</v>
      </c>
      <c r="C248" s="469"/>
      <c r="D248" s="469"/>
      <c r="E248" s="469"/>
      <c r="F248" s="469"/>
      <c r="G248" s="469"/>
      <c r="H248" s="469"/>
      <c r="I248" s="469"/>
      <c r="J248" s="469"/>
      <c r="K248" s="470"/>
    </row>
    <row r="249" spans="2:11" x14ac:dyDescent="0.2">
      <c r="B249" s="498">
        <v>56</v>
      </c>
      <c r="C249" s="500" t="s">
        <v>142</v>
      </c>
      <c r="D249" s="500"/>
      <c r="E249" s="500"/>
      <c r="F249" s="500"/>
      <c r="G249" s="500"/>
      <c r="H249" s="500"/>
      <c r="I249" s="500"/>
      <c r="J249" s="500"/>
      <c r="K249" s="501"/>
    </row>
    <row r="250" spans="2:11" ht="14.25" customHeight="1" x14ac:dyDescent="0.2">
      <c r="B250" s="498"/>
      <c r="C250" s="499">
        <v>1</v>
      </c>
      <c r="D250" s="28">
        <v>25601001</v>
      </c>
      <c r="E250" s="51" t="s">
        <v>486</v>
      </c>
      <c r="F250" s="11">
        <f>IF(' جهات'!G69+' جهات'!G79+' جهات'!G88+' جهات'!G105+' جهات'!G120+' جهات'!G135++' جهات'!G241&gt;0,' جهات'!G69+' جهات'!G79+' جهات'!G88+' جهات'!G105+' جهات'!G120+' جهات'!G135+' جهات'!G241,"")</f>
        <v>112000</v>
      </c>
      <c r="G250" s="11">
        <f>IF(' جهات'!H69+' جهات'!H79+' جهات'!H88+' جهات'!H105+' جهات'!H120+' جهات'!H135++' جهات'!H241&gt;0,' جهات'!H69+' جهات'!H79+' جهات'!H88+' جهات'!H105+' جهات'!H120+' جهات'!H135+' جهات'!H241,"")</f>
        <v>16000</v>
      </c>
      <c r="H250" s="11">
        <f>IF(' جهات'!I69+' جهات'!I79+' جهات'!I88+' جهات'!I105+' جهات'!I120+' جهات'!I135++' جهات'!I241&gt;0,' جهات'!I69+' جهات'!I79+' جهات'!I88+' جهات'!I105+' جهات'!I120+' جهات'!I135+' جهات'!I241,"")</f>
        <v>2673</v>
      </c>
      <c r="I250" s="11">
        <f>IF(' جهات'!J69+' جهات'!J79+' جهات'!J88+' جهات'!J105+' جهات'!J120+' جهات'!J135++' جهات'!J241&gt;0,' جهات'!J69+' جهات'!J79+' جهات'!J88+' جهات'!J105+' جهات'!J120+' جهات'!J135+' جهات'!J241,"")</f>
        <v>10820</v>
      </c>
      <c r="J250" s="137">
        <f>IF(' جهات'!K69+' جهات'!K79+' جهات'!K88+' جهات'!K105+' جهات'!K120+' جهات'!K135+' جهات'!K241&gt;0,' جهات'!K69+' جهات'!K79+' جهات'!K88+' جهات'!K105+' جهات'!K120+' جهات'!K135+' جهات'!K241,"")</f>
        <v>240000</v>
      </c>
      <c r="K250" s="112">
        <f>IFERROR(J250/F250,"")</f>
        <v>2.1428571428571428</v>
      </c>
    </row>
    <row r="251" spans="2:11" s="46" customFormat="1" ht="14.25" customHeight="1" x14ac:dyDescent="0.2">
      <c r="B251" s="498"/>
      <c r="C251" s="499"/>
      <c r="D251" s="28">
        <v>25601004</v>
      </c>
      <c r="E251" s="51" t="s">
        <v>466</v>
      </c>
      <c r="F251" s="11">
        <f>IF(' جهات'!G275&gt;0,' جهات'!G275,"")</f>
        <v>4000</v>
      </c>
      <c r="G251" s="11" t="str">
        <f>IF(' جهات'!H275&gt;0,' جهات'!H275,"")</f>
        <v/>
      </c>
      <c r="H251" s="11" t="str">
        <f>IF(' جهات'!I275&gt;0,' جهات'!I275,"")</f>
        <v/>
      </c>
      <c r="I251" s="11" t="str">
        <f>IF(' جهات'!J275&gt;0,' جهات'!J275,"")</f>
        <v/>
      </c>
      <c r="J251" s="137">
        <f>IF(' جهات'!K275&gt;0,' جهات'!K275,"")</f>
        <v>4000</v>
      </c>
      <c r="K251" s="112">
        <f>IFERROR(J251/F251,"")</f>
        <v>1</v>
      </c>
    </row>
    <row r="252" spans="2:11" x14ac:dyDescent="0.2">
      <c r="B252" s="498"/>
      <c r="C252" s="497" t="s">
        <v>23</v>
      </c>
      <c r="D252" s="497"/>
      <c r="E252" s="497"/>
      <c r="F252" s="149">
        <f>SUM(F250:F251)</f>
        <v>116000</v>
      </c>
      <c r="G252" s="149">
        <f>SUM(G250:G251)</f>
        <v>16000</v>
      </c>
      <c r="H252" s="149">
        <f t="shared" ref="H252:I252" si="67">SUM(H250:H251)</f>
        <v>2673</v>
      </c>
      <c r="I252" s="149">
        <f t="shared" si="67"/>
        <v>10820</v>
      </c>
      <c r="J252" s="149">
        <f>SUM(J250:J251)</f>
        <v>244000</v>
      </c>
      <c r="K252" s="112">
        <f>IFERROR(J252/F252,"")</f>
        <v>2.103448275862069</v>
      </c>
    </row>
    <row r="253" spans="2:11" x14ac:dyDescent="0.2">
      <c r="B253" s="498"/>
      <c r="C253" s="500" t="s">
        <v>145</v>
      </c>
      <c r="D253" s="500"/>
      <c r="E253" s="500"/>
      <c r="F253" s="500"/>
      <c r="G253" s="500"/>
      <c r="H253" s="500"/>
      <c r="I253" s="500"/>
      <c r="J253" s="500"/>
      <c r="K253" s="501"/>
    </row>
    <row r="254" spans="2:11" ht="14.25" customHeight="1" x14ac:dyDescent="0.2">
      <c r="B254" s="498"/>
      <c r="C254" s="299">
        <v>2</v>
      </c>
      <c r="D254" s="29">
        <v>25602001</v>
      </c>
      <c r="E254" s="177" t="s">
        <v>145</v>
      </c>
      <c r="F254" s="11">
        <f>IF(' جهات'!G80+' جهات'!G89+' جهات'!G106+' جهات'!G121+' جهات'!G136+' جهات'!G242&gt;0,' جهات'!G80+' جهات'!G89+' جهات'!G106+' جهات'!G121+' جهات'!G136+' جهات'!G242,"")</f>
        <v>69000</v>
      </c>
      <c r="G254" s="11">
        <f>IF(' جهات'!H80+' جهات'!H89+' جهات'!H106+' جهات'!H121+' جهات'!H136+' جهات'!H242&gt;0,' جهات'!H80+' جهات'!H89+' جهات'!H106+' جهات'!H121+' جهات'!H136+' جهات'!H242,"")</f>
        <v>80000</v>
      </c>
      <c r="H254" s="11">
        <f>IF(' جهات'!I80+' جهات'!I89+' جهات'!I106+' جهات'!I121+' جهات'!I136+' جهات'!I242&gt;0,' جهات'!I80+' جهات'!I89+' جهات'!I106+' جهات'!I121+' جهات'!I136+' جهات'!I242,"")</f>
        <v>26431.962</v>
      </c>
      <c r="I254" s="11">
        <f>IF(' جهات'!J80+' جهات'!J89+' جهات'!J106+' جهات'!J121+' جهات'!J136+' جهات'!J242&gt;0,' جهات'!J80+' جهات'!J89+' جهات'!J106+' جهات'!J121+' جهات'!J136+' جهات'!J242,"")</f>
        <v>51587.24</v>
      </c>
      <c r="J254" s="137">
        <f>IF(' جهات'!K80+' جهات'!K89+' جهات'!K106+' جهات'!K121+' جهات'!K136+' جهات'!K242&gt;0,' جهات'!K80+' جهات'!K89+' جهات'!K106+' جهات'!K121+' جهات'!K136+' جهات'!K242,"")</f>
        <v>124000</v>
      </c>
      <c r="K254" s="112">
        <f>IFERROR(J254/F254,"")</f>
        <v>1.7971014492753623</v>
      </c>
    </row>
    <row r="255" spans="2:11" x14ac:dyDescent="0.2">
      <c r="B255" s="498"/>
      <c r="C255" s="497" t="s">
        <v>23</v>
      </c>
      <c r="D255" s="497"/>
      <c r="E255" s="497"/>
      <c r="F255" s="149">
        <f>SUM(F254)</f>
        <v>69000</v>
      </c>
      <c r="G255" s="149">
        <f t="shared" ref="G255:J255" si="68">SUM(G254)</f>
        <v>80000</v>
      </c>
      <c r="H255" s="149">
        <f t="shared" si="68"/>
        <v>26431.962</v>
      </c>
      <c r="I255" s="149">
        <f t="shared" si="68"/>
        <v>51587.24</v>
      </c>
      <c r="J255" s="149">
        <f t="shared" si="68"/>
        <v>124000</v>
      </c>
      <c r="K255" s="112">
        <f>IFERROR(J255/F255,"")</f>
        <v>1.7971014492753623</v>
      </c>
    </row>
    <row r="256" spans="2:11" x14ac:dyDescent="0.2">
      <c r="B256" s="498"/>
      <c r="C256" s="500" t="s">
        <v>448</v>
      </c>
      <c r="D256" s="500"/>
      <c r="E256" s="500"/>
      <c r="F256" s="500"/>
      <c r="G256" s="500"/>
      <c r="H256" s="500"/>
      <c r="I256" s="500"/>
      <c r="J256" s="500"/>
      <c r="K256" s="501"/>
    </row>
    <row r="257" spans="2:12" x14ac:dyDescent="0.2">
      <c r="B257" s="498"/>
      <c r="C257" s="299">
        <v>3</v>
      </c>
      <c r="D257" s="29">
        <v>25603001</v>
      </c>
      <c r="E257" s="177" t="s">
        <v>489</v>
      </c>
      <c r="F257" s="11">
        <f>IF(' جهات'!G107+' جهات'!G122+' جهات'!G137+' جهات'!G221+' جهات'!G243&gt;0,' جهات'!G107+' جهات'!G122+' جهات'!G137+' جهات'!G221+' جهات'!G243,"")</f>
        <v>55137</v>
      </c>
      <c r="G257" s="11">
        <f>IF(' جهات'!H107+' جهات'!H122+' جهات'!H137+' جهات'!H221+' جهات'!H243&gt;0,' جهات'!H107+' جهات'!H122+' جهات'!H137+' جهات'!H221+' جهات'!H243,"")</f>
        <v>20137</v>
      </c>
      <c r="H257" s="11">
        <f>IF(' جهات'!I107+' جهات'!I122+' جهات'!I137+' جهات'!I221+' جهات'!I243&gt;0,' جهات'!I107+' جهات'!I122+' جهات'!I137+' جهات'!I221+' جهات'!I243,"")</f>
        <v>6785.9989999999998</v>
      </c>
      <c r="I257" s="11">
        <f>IF(' جهات'!J107+' جهات'!J122+' جهات'!J137+' جهات'!J221+' جهات'!J243&gt;0,' جهات'!J107+' جهات'!J122+' جهات'!J137+' جهات'!J221+' جهات'!J243,"")</f>
        <v>12489.001</v>
      </c>
      <c r="J257" s="137">
        <f>IF(' جهات'!K107+' جهات'!K122+' جهات'!K137+' جهات'!K221+' جهات'!K243&gt;0,' جهات'!K107+' جهات'!K122+' جهات'!K137+' جهات'!K221+' جهات'!K243,"")</f>
        <v>77000</v>
      </c>
      <c r="K257" s="112">
        <f>IFERROR(J257/F257,"")</f>
        <v>1.3965213921685982</v>
      </c>
      <c r="L257" s="61"/>
    </row>
    <row r="258" spans="2:12" x14ac:dyDescent="0.2">
      <c r="B258" s="498"/>
      <c r="C258" s="497" t="s">
        <v>23</v>
      </c>
      <c r="D258" s="497"/>
      <c r="E258" s="497"/>
      <c r="F258" s="149">
        <f>SUM(F257)</f>
        <v>55137</v>
      </c>
      <c r="G258" s="149">
        <f t="shared" ref="G258:J258" si="69">SUM(G257)</f>
        <v>20137</v>
      </c>
      <c r="H258" s="149">
        <f t="shared" si="69"/>
        <v>6785.9989999999998</v>
      </c>
      <c r="I258" s="149">
        <f t="shared" si="69"/>
        <v>12489.001</v>
      </c>
      <c r="J258" s="149">
        <f t="shared" si="69"/>
        <v>77000</v>
      </c>
      <c r="K258" s="112">
        <f>IFERROR(J258/F258,"")</f>
        <v>1.3965213921685982</v>
      </c>
    </row>
    <row r="259" spans="2:12" x14ac:dyDescent="0.2">
      <c r="B259" s="432" t="s">
        <v>143</v>
      </c>
      <c r="C259" s="433"/>
      <c r="D259" s="433"/>
      <c r="E259" s="433"/>
      <c r="F259" s="150">
        <f>F252+F255+F258</f>
        <v>240137</v>
      </c>
      <c r="G259" s="150">
        <f t="shared" ref="G259:I259" si="70">G252+G255+G258</f>
        <v>116137</v>
      </c>
      <c r="H259" s="150">
        <f t="shared" si="70"/>
        <v>35890.960999999996</v>
      </c>
      <c r="I259" s="150">
        <f t="shared" si="70"/>
        <v>74896.240999999995</v>
      </c>
      <c r="J259" s="150">
        <f>J252+J255+J258</f>
        <v>445000</v>
      </c>
      <c r="K259" s="112">
        <f>IFERROR(J259/F259,"")</f>
        <v>1.8531088503645836</v>
      </c>
    </row>
    <row r="260" spans="2:12" x14ac:dyDescent="0.2">
      <c r="B260" s="468" t="s">
        <v>479</v>
      </c>
      <c r="C260" s="469"/>
      <c r="D260" s="469"/>
      <c r="E260" s="469"/>
      <c r="F260" s="469"/>
      <c r="G260" s="469"/>
      <c r="H260" s="469"/>
      <c r="I260" s="469"/>
      <c r="J260" s="469"/>
      <c r="K260" s="470"/>
    </row>
    <row r="261" spans="2:12" x14ac:dyDescent="0.2">
      <c r="B261" s="498">
        <v>57</v>
      </c>
      <c r="C261" s="500" t="s">
        <v>477</v>
      </c>
      <c r="D261" s="500"/>
      <c r="E261" s="500"/>
      <c r="F261" s="500"/>
      <c r="G261" s="500"/>
      <c r="H261" s="500"/>
      <c r="I261" s="500"/>
      <c r="J261" s="500"/>
      <c r="K261" s="501"/>
    </row>
    <row r="262" spans="2:12" ht="14.25" customHeight="1" x14ac:dyDescent="0.2">
      <c r="B262" s="498"/>
      <c r="C262" s="499">
        <v>1</v>
      </c>
      <c r="D262" s="28">
        <v>25701001</v>
      </c>
      <c r="E262" s="51" t="s">
        <v>503</v>
      </c>
      <c r="F262" s="11">
        <f>IF(' جهات'!G289&gt;0,' جهات'!G289,"")</f>
        <v>17000</v>
      </c>
      <c r="G262" s="11">
        <f>IF(' جهات'!H289&gt;0,' جهات'!H289,"")</f>
        <v>1000</v>
      </c>
      <c r="H262" s="11">
        <f>IF(' جهات'!I289&gt;0,' جهات'!I289,"")</f>
        <v>201</v>
      </c>
      <c r="I262" s="11" t="str">
        <f>IF(' جهات'!J289&gt;0,' جهات'!J289,"")</f>
        <v/>
      </c>
      <c r="J262" s="137">
        <f>IF(' جهات'!K289&gt;0,' جهات'!K289,"")</f>
        <v>30000</v>
      </c>
      <c r="K262" s="112">
        <f>IFERROR(J262/F262,"")</f>
        <v>1.7647058823529411</v>
      </c>
    </row>
    <row r="263" spans="2:12" ht="14.25" customHeight="1" x14ac:dyDescent="0.2">
      <c r="B263" s="498"/>
      <c r="C263" s="499"/>
      <c r="D263" s="28">
        <v>25701002</v>
      </c>
      <c r="E263" s="51" t="s">
        <v>105</v>
      </c>
      <c r="F263" s="11">
        <f>IF(' جهات'!G290&gt;0,' جهات'!G290,"")</f>
        <v>4000</v>
      </c>
      <c r="G263" s="11" t="str">
        <f>IF(' جهات'!H290&gt;0,' جهات'!H290,"")</f>
        <v/>
      </c>
      <c r="H263" s="11" t="str">
        <f>IF(' جهات'!I290&gt;0,' جهات'!I290,"")</f>
        <v/>
      </c>
      <c r="I263" s="11" t="str">
        <f>IF(' جهات'!J290&gt;0,' جهات'!J290,"")</f>
        <v/>
      </c>
      <c r="J263" s="137">
        <f>IF(' جهات'!K290&gt;0,' جهات'!K290,"")</f>
        <v>5000</v>
      </c>
      <c r="K263" s="112">
        <f>IFERROR(J263/F263,"")</f>
        <v>1.25</v>
      </c>
    </row>
    <row r="264" spans="2:12" x14ac:dyDescent="0.2">
      <c r="B264" s="498"/>
      <c r="C264" s="497" t="s">
        <v>23</v>
      </c>
      <c r="D264" s="497"/>
      <c r="E264" s="497"/>
      <c r="F264" s="149">
        <f>SUM(F262:F263)</f>
        <v>21000</v>
      </c>
      <c r="G264" s="149">
        <f t="shared" ref="G264:I264" si="71">SUM(G262:G263)</f>
        <v>1000</v>
      </c>
      <c r="H264" s="149">
        <f t="shared" si="71"/>
        <v>201</v>
      </c>
      <c r="I264" s="149">
        <f t="shared" si="71"/>
        <v>0</v>
      </c>
      <c r="J264" s="149">
        <f>SUM(J262:J263)</f>
        <v>35000</v>
      </c>
      <c r="K264" s="112">
        <f>IFERROR(J264/F264,"")</f>
        <v>1.6666666666666667</v>
      </c>
    </row>
    <row r="265" spans="2:12" x14ac:dyDescent="0.2">
      <c r="B265" s="432" t="s">
        <v>478</v>
      </c>
      <c r="C265" s="433"/>
      <c r="D265" s="433"/>
      <c r="E265" s="433"/>
      <c r="F265" s="150">
        <f>F264</f>
        <v>21000</v>
      </c>
      <c r="G265" s="150">
        <f t="shared" ref="G265:J265" si="72">G264</f>
        <v>1000</v>
      </c>
      <c r="H265" s="150">
        <f t="shared" si="72"/>
        <v>201</v>
      </c>
      <c r="I265" s="150">
        <f t="shared" si="72"/>
        <v>0</v>
      </c>
      <c r="J265" s="150">
        <f t="shared" si="72"/>
        <v>35000</v>
      </c>
      <c r="K265" s="112">
        <f>IFERROR(J265/F265,"")</f>
        <v>1.6666666666666667</v>
      </c>
    </row>
    <row r="266" spans="2:12" x14ac:dyDescent="0.2">
      <c r="B266" s="482" t="s">
        <v>144</v>
      </c>
      <c r="C266" s="483"/>
      <c r="D266" s="483"/>
      <c r="E266" s="483"/>
      <c r="F266" s="140">
        <f t="shared" ref="F266:I266" si="73">F219+F225+F233+F242+F247+F259+F265</f>
        <v>1891137</v>
      </c>
      <c r="G266" s="140">
        <f>G219+G225+G233+G242+G247+G259+G265</f>
        <v>1891137</v>
      </c>
      <c r="H266" s="140">
        <f t="shared" si="73"/>
        <v>1322014.7219999998</v>
      </c>
      <c r="I266" s="140">
        <f t="shared" si="73"/>
        <v>505450.39499999996</v>
      </c>
      <c r="J266" s="140">
        <f>J219+J225+J233+J242+J247+J259+J265</f>
        <v>2128500</v>
      </c>
      <c r="K266" s="112">
        <f>IFERROR(J266/F266,"")</f>
        <v>1.1255133816323195</v>
      </c>
    </row>
    <row r="267" spans="2:12" x14ac:dyDescent="0.2">
      <c r="B267" s="407" t="s">
        <v>265</v>
      </c>
      <c r="C267" s="408"/>
      <c r="D267" s="408"/>
      <c r="E267" s="408"/>
      <c r="F267" s="408"/>
      <c r="G267" s="408"/>
      <c r="H267" s="408"/>
      <c r="I267" s="408"/>
      <c r="J267" s="408"/>
      <c r="K267" s="409"/>
    </row>
    <row r="268" spans="2:12" x14ac:dyDescent="0.2">
      <c r="B268" s="468" t="s">
        <v>301</v>
      </c>
      <c r="C268" s="469"/>
      <c r="D268" s="469"/>
      <c r="E268" s="469"/>
      <c r="F268" s="469"/>
      <c r="G268" s="469"/>
      <c r="H268" s="469"/>
      <c r="I268" s="469"/>
      <c r="J268" s="469"/>
      <c r="K268" s="470"/>
    </row>
    <row r="269" spans="2:12" x14ac:dyDescent="0.2">
      <c r="B269" s="498">
        <v>59</v>
      </c>
      <c r="C269" s="500" t="s">
        <v>146</v>
      </c>
      <c r="D269" s="500"/>
      <c r="E269" s="500"/>
      <c r="F269" s="500"/>
      <c r="G269" s="500"/>
      <c r="H269" s="500"/>
      <c r="I269" s="500"/>
      <c r="J269" s="500"/>
      <c r="K269" s="501"/>
    </row>
    <row r="270" spans="2:12" ht="14.25" customHeight="1" x14ac:dyDescent="0.2">
      <c r="B270" s="498"/>
      <c r="C270" s="299">
        <v>1</v>
      </c>
      <c r="D270" s="28">
        <v>25901001</v>
      </c>
      <c r="E270" s="51" t="s">
        <v>106</v>
      </c>
      <c r="F270" s="11">
        <f>IF(' جهات'!G261&gt;0,' جهات'!G261,"")</f>
        <v>400000</v>
      </c>
      <c r="G270" s="11">
        <f>IF(' جهات'!H261&gt;0,' جهات'!H261,"")</f>
        <v>400000</v>
      </c>
      <c r="H270" s="11">
        <f>IF(' جهات'!I261&gt;0,' جهات'!I261,"")</f>
        <v>295103.71399999998</v>
      </c>
      <c r="I270" s="11" t="str">
        <f>IF(' جهات'!J261&gt;0,' جهات'!J261,"")</f>
        <v/>
      </c>
      <c r="J270" s="137">
        <f>IF(' جهات'!K261&gt;0,' جهات'!K261,"")</f>
        <v>300000</v>
      </c>
      <c r="K270" s="112">
        <f>IFERROR(J270/F270,"")</f>
        <v>0.75</v>
      </c>
    </row>
    <row r="271" spans="2:12" x14ac:dyDescent="0.2">
      <c r="B271" s="498"/>
      <c r="C271" s="497" t="s">
        <v>23</v>
      </c>
      <c r="D271" s="497"/>
      <c r="E271" s="497"/>
      <c r="F271" s="149">
        <f>SUM(F270)</f>
        <v>400000</v>
      </c>
      <c r="G271" s="149">
        <f t="shared" ref="G271:J271" si="74">SUM(G270)</f>
        <v>400000</v>
      </c>
      <c r="H271" s="149">
        <f t="shared" si="74"/>
        <v>295103.71399999998</v>
      </c>
      <c r="I271" s="149">
        <f t="shared" si="74"/>
        <v>0</v>
      </c>
      <c r="J271" s="149">
        <f t="shared" si="74"/>
        <v>300000</v>
      </c>
      <c r="K271" s="112">
        <f>IFERROR(J271/F271,"")</f>
        <v>0.75</v>
      </c>
    </row>
    <row r="272" spans="2:12" x14ac:dyDescent="0.2">
      <c r="B272" s="498"/>
      <c r="C272" s="500" t="s">
        <v>95</v>
      </c>
      <c r="D272" s="500"/>
      <c r="E272" s="500"/>
      <c r="F272" s="500"/>
      <c r="G272" s="500"/>
      <c r="H272" s="500"/>
      <c r="I272" s="500"/>
      <c r="J272" s="500"/>
      <c r="K272" s="501"/>
    </row>
    <row r="273" spans="2:11" x14ac:dyDescent="0.2">
      <c r="B273" s="498"/>
      <c r="C273" s="299">
        <v>2</v>
      </c>
      <c r="D273" s="29">
        <v>25902001</v>
      </c>
      <c r="E273" s="177" t="s">
        <v>95</v>
      </c>
      <c r="F273" s="11">
        <f>IF(' جهات'!G262&gt;0,' جهات'!G262,"")</f>
        <v>10000</v>
      </c>
      <c r="G273" s="11">
        <f>IF(' جهات'!H262&gt;0,' جهات'!H262,"")</f>
        <v>10000</v>
      </c>
      <c r="H273" s="11">
        <f>IF(' جهات'!I262&gt;0,' جهات'!I262,"")</f>
        <v>200</v>
      </c>
      <c r="I273" s="11" t="str">
        <f>IF(' جهات'!J262&gt;0,' جهات'!J262,"")</f>
        <v/>
      </c>
      <c r="J273" s="137">
        <f>IF(' جهات'!K262&gt;0,' جهات'!K262,"")</f>
        <v>10000</v>
      </c>
      <c r="K273" s="112">
        <f>IFERROR(J273/F273,"")</f>
        <v>1</v>
      </c>
    </row>
    <row r="274" spans="2:11" x14ac:dyDescent="0.2">
      <c r="B274" s="498"/>
      <c r="C274" s="497" t="s">
        <v>23</v>
      </c>
      <c r="D274" s="497"/>
      <c r="E274" s="497"/>
      <c r="F274" s="149">
        <f>SUM(F273)</f>
        <v>10000</v>
      </c>
      <c r="G274" s="149">
        <f t="shared" ref="G274:J274" si="75">SUM(G273)</f>
        <v>10000</v>
      </c>
      <c r="H274" s="149">
        <f t="shared" si="75"/>
        <v>200</v>
      </c>
      <c r="I274" s="149">
        <f t="shared" si="75"/>
        <v>0</v>
      </c>
      <c r="J274" s="149">
        <f t="shared" si="75"/>
        <v>10000</v>
      </c>
      <c r="K274" s="112">
        <f>IFERROR(J274/F274,"")</f>
        <v>1</v>
      </c>
    </row>
    <row r="275" spans="2:11" x14ac:dyDescent="0.2">
      <c r="B275" s="432" t="s">
        <v>302</v>
      </c>
      <c r="C275" s="433"/>
      <c r="D275" s="433"/>
      <c r="E275" s="433"/>
      <c r="F275" s="150">
        <f>F271+F274</f>
        <v>410000</v>
      </c>
      <c r="G275" s="150">
        <f t="shared" ref="G275:J275" si="76">G271+G274</f>
        <v>410000</v>
      </c>
      <c r="H275" s="150">
        <f t="shared" si="76"/>
        <v>295303.71399999998</v>
      </c>
      <c r="I275" s="150">
        <f t="shared" si="76"/>
        <v>0</v>
      </c>
      <c r="J275" s="150">
        <f t="shared" si="76"/>
        <v>310000</v>
      </c>
      <c r="K275" s="112">
        <f>IFERROR(J275/F275,"")</f>
        <v>0.75609756097560976</v>
      </c>
    </row>
    <row r="276" spans="2:11" x14ac:dyDescent="0.2">
      <c r="B276" s="482" t="s">
        <v>303</v>
      </c>
      <c r="C276" s="483"/>
      <c r="D276" s="483"/>
      <c r="E276" s="483"/>
      <c r="F276" s="140">
        <f>SUM(F275)</f>
        <v>410000</v>
      </c>
      <c r="G276" s="140">
        <f t="shared" ref="G276:J276" si="77">SUM(G275)</f>
        <v>410000</v>
      </c>
      <c r="H276" s="140">
        <f t="shared" si="77"/>
        <v>295303.71399999998</v>
      </c>
      <c r="I276" s="140">
        <f t="shared" si="77"/>
        <v>0</v>
      </c>
      <c r="J276" s="140">
        <f t="shared" si="77"/>
        <v>310000</v>
      </c>
      <c r="K276" s="112">
        <f>IFERROR(J276/F276,"")</f>
        <v>0.75609756097560976</v>
      </c>
    </row>
    <row r="277" spans="2:11" x14ac:dyDescent="0.2">
      <c r="B277" s="407" t="s">
        <v>266</v>
      </c>
      <c r="C277" s="408"/>
      <c r="D277" s="408"/>
      <c r="E277" s="408"/>
      <c r="F277" s="408"/>
      <c r="G277" s="408"/>
      <c r="H277" s="408"/>
      <c r="I277" s="408"/>
      <c r="J277" s="408"/>
      <c r="K277" s="409"/>
    </row>
    <row r="278" spans="2:11" x14ac:dyDescent="0.2">
      <c r="B278" s="468" t="s">
        <v>268</v>
      </c>
      <c r="C278" s="469"/>
      <c r="D278" s="469"/>
      <c r="E278" s="469"/>
      <c r="F278" s="469"/>
      <c r="G278" s="469"/>
      <c r="H278" s="469"/>
      <c r="I278" s="469"/>
      <c r="J278" s="469"/>
      <c r="K278" s="470"/>
    </row>
    <row r="279" spans="2:11" x14ac:dyDescent="0.2">
      <c r="B279" s="498">
        <v>62</v>
      </c>
      <c r="C279" s="500" t="s">
        <v>253</v>
      </c>
      <c r="D279" s="500"/>
      <c r="E279" s="500"/>
      <c r="F279" s="500"/>
      <c r="G279" s="500"/>
      <c r="H279" s="500"/>
      <c r="I279" s="500"/>
      <c r="J279" s="500"/>
      <c r="K279" s="501"/>
    </row>
    <row r="280" spans="2:11" ht="14.25" customHeight="1" x14ac:dyDescent="0.2">
      <c r="B280" s="498"/>
      <c r="C280" s="499">
        <v>1</v>
      </c>
      <c r="D280" s="29">
        <v>26201041</v>
      </c>
      <c r="E280" s="179" t="s">
        <v>412</v>
      </c>
      <c r="F280" s="11">
        <f>IF(' جهات'!G208&gt;0,' جهات'!G208,"")</f>
        <v>65000</v>
      </c>
      <c r="G280" s="11">
        <f>IF(' جهات'!H208&gt;0,' جهات'!H208,"")</f>
        <v>65000</v>
      </c>
      <c r="H280" s="11">
        <f>IF(' جهات'!I208&gt;0,' جهات'!I208,"")</f>
        <v>1799.4380000000001</v>
      </c>
      <c r="I280" s="11">
        <f>IF(' جهات'!J208&gt;0,' جهات'!J208,"")</f>
        <v>18400</v>
      </c>
      <c r="J280" s="137">
        <f>IF(' جهات'!K208&gt;0,' جهات'!K208,"")</f>
        <v>35000</v>
      </c>
      <c r="K280" s="112">
        <f>IFERROR(J280/F280,"")</f>
        <v>0.53846153846153844</v>
      </c>
    </row>
    <row r="281" spans="2:11" ht="14.25" customHeight="1" x14ac:dyDescent="0.2">
      <c r="B281" s="498"/>
      <c r="C281" s="499"/>
      <c r="D281" s="29">
        <v>26201049</v>
      </c>
      <c r="E281" s="179" t="s">
        <v>246</v>
      </c>
      <c r="F281" s="11">
        <f>IF(' جهات'!G209&gt;0,' جهات'!G209,"")</f>
        <v>20000</v>
      </c>
      <c r="G281" s="11">
        <f>IF(' جهات'!H209&gt;0,' جهات'!H209,"")</f>
        <v>20000</v>
      </c>
      <c r="H281" s="11" t="str">
        <f>IF(' جهات'!I209&gt;0,' جهات'!I209,"")</f>
        <v/>
      </c>
      <c r="I281" s="11">
        <f>IF(' جهات'!J209&gt;0,' جهات'!J209,"")</f>
        <v>4500</v>
      </c>
      <c r="J281" s="137">
        <f>IF(' جهات'!K209&gt;0,' جهات'!K209,"")</f>
        <v>40000</v>
      </c>
      <c r="K281" s="112">
        <f>IFERROR(J281/F281,"")</f>
        <v>2</v>
      </c>
    </row>
    <row r="282" spans="2:11" ht="14.25" customHeight="1" x14ac:dyDescent="0.2">
      <c r="B282" s="498"/>
      <c r="C282" s="499"/>
      <c r="D282" s="29">
        <v>26201050</v>
      </c>
      <c r="E282" s="179" t="s">
        <v>1</v>
      </c>
      <c r="F282" s="11">
        <f>IF(' جهات'!G210&gt;0,' جهات'!G210,"")</f>
        <v>70000</v>
      </c>
      <c r="G282" s="11">
        <f>IF(' جهات'!H210&gt;0,' جهات'!H210,"")</f>
        <v>70000</v>
      </c>
      <c r="H282" s="11">
        <f>IF(' جهات'!I210&gt;0,' جهات'!I210,"")</f>
        <v>50</v>
      </c>
      <c r="I282" s="11">
        <f>IF(' جهات'!J210&gt;0,' جهات'!J210,"")</f>
        <v>25000</v>
      </c>
      <c r="J282" s="137">
        <f>IF(' جهات'!K210&gt;0,' جهات'!K210,"")</f>
        <v>70000</v>
      </c>
      <c r="K282" s="112">
        <f>IFERROR(J282/F282,"")</f>
        <v>1</v>
      </c>
    </row>
    <row r="283" spans="2:11" s="46" customFormat="1" ht="14.25" customHeight="1" x14ac:dyDescent="0.2">
      <c r="B283" s="498"/>
      <c r="C283" s="499"/>
      <c r="D283" s="29">
        <v>26201053</v>
      </c>
      <c r="E283" s="179" t="s">
        <v>509</v>
      </c>
      <c r="F283" s="11">
        <f>IF(' جهات'!G44+' جهات'!G18&gt;0,' جهات'!G44+' جهات'!G18,"")</f>
        <v>16000</v>
      </c>
      <c r="G283" s="11">
        <f>IF(' جهات'!H44+' جهات'!H18&gt;0,' جهات'!H44+' جهات'!H18,"")</f>
        <v>16000</v>
      </c>
      <c r="H283" s="11" t="str">
        <f>IF(' جهات'!I44+' جهات'!I18&gt;0,' جهات'!I44+' جهات'!I18,"")</f>
        <v/>
      </c>
      <c r="I283" s="11" t="str">
        <f>IF(' جهات'!J44+' جهات'!J18&gt;0,' جهات'!J44+' جهات'!J18,"")</f>
        <v/>
      </c>
      <c r="J283" s="137">
        <f>IF(' جهات'!K44+' جهات'!K18&gt;0,' جهات'!K44+' جهات'!K18,"")</f>
        <v>9500</v>
      </c>
      <c r="K283" s="112">
        <f>IFERROR(J283/F283,"")</f>
        <v>0.59375</v>
      </c>
    </row>
    <row r="284" spans="2:11" x14ac:dyDescent="0.2">
      <c r="B284" s="498"/>
      <c r="C284" s="497" t="s">
        <v>23</v>
      </c>
      <c r="D284" s="497"/>
      <c r="E284" s="497"/>
      <c r="F284" s="149">
        <f>SUM(F280:F283)</f>
        <v>171000</v>
      </c>
      <c r="G284" s="149">
        <f t="shared" ref="G284:J284" si="78">SUM(G280:G283)</f>
        <v>171000</v>
      </c>
      <c r="H284" s="149">
        <f t="shared" si="78"/>
        <v>1849.4380000000001</v>
      </c>
      <c r="I284" s="149">
        <f t="shared" si="78"/>
        <v>47900</v>
      </c>
      <c r="J284" s="149">
        <f t="shared" si="78"/>
        <v>154500</v>
      </c>
      <c r="K284" s="112">
        <f>IFERROR(J284/F284,"")</f>
        <v>0.90350877192982459</v>
      </c>
    </row>
    <row r="285" spans="2:11" x14ac:dyDescent="0.2">
      <c r="B285" s="498"/>
      <c r="C285" s="500" t="s">
        <v>2</v>
      </c>
      <c r="D285" s="500"/>
      <c r="E285" s="500"/>
      <c r="F285" s="500"/>
      <c r="G285" s="500"/>
      <c r="H285" s="500"/>
      <c r="I285" s="500"/>
      <c r="J285" s="500"/>
      <c r="K285" s="501"/>
    </row>
    <row r="286" spans="2:11" ht="15" customHeight="1" x14ac:dyDescent="0.2">
      <c r="B286" s="498"/>
      <c r="C286" s="499">
        <v>2</v>
      </c>
      <c r="D286" s="29">
        <v>26202002</v>
      </c>
      <c r="E286" s="179" t="s">
        <v>3</v>
      </c>
      <c r="F286" s="11">
        <f>IF(' جهات'!G211&gt;0,' جهات'!G211,"")</f>
        <v>50000</v>
      </c>
      <c r="G286" s="11">
        <f>IF(' جهات'!H211&gt;0,' جهات'!H211,"")</f>
        <v>50000</v>
      </c>
      <c r="H286" s="11" t="str">
        <f>IF(' جهات'!I211&gt;0,' جهات'!I211,"")</f>
        <v/>
      </c>
      <c r="I286" s="11">
        <f>IF(' جهات'!J211&gt;0,' جهات'!J211,"")</f>
        <v>300</v>
      </c>
      <c r="J286" s="137">
        <f>IF(' جهات'!K211&gt;0,' جهات'!K211,"")</f>
        <v>140000</v>
      </c>
      <c r="K286" s="112">
        <f>IFERROR(J286/F286,"")</f>
        <v>2.8</v>
      </c>
    </row>
    <row r="287" spans="2:11" s="46" customFormat="1" ht="15" customHeight="1" x14ac:dyDescent="0.2">
      <c r="B287" s="498"/>
      <c r="C287" s="499"/>
      <c r="D287" s="121"/>
      <c r="E287" s="58" t="s">
        <v>516</v>
      </c>
      <c r="F287" s="65" t="str">
        <f>IF(' جهات'!G212&gt;0,' جهات'!G212,"")</f>
        <v/>
      </c>
      <c r="G287" s="65" t="str">
        <f>IF(' جهات'!H212&gt;0,' جهات'!H212,"")</f>
        <v/>
      </c>
      <c r="H287" s="65" t="str">
        <f>IF(' جهات'!I212&gt;0,' جهات'!I212,"")</f>
        <v/>
      </c>
      <c r="I287" s="65" t="str">
        <f>IF(' جهات'!J212&gt;0,' جهات'!J212,"")</f>
        <v/>
      </c>
      <c r="J287" s="137">
        <f>IF(' جهات'!K212&gt;0,' جهات'!K212,"")</f>
        <v>40000</v>
      </c>
      <c r="K287" s="112" t="str">
        <f>IFERROR(J287/F287,"")</f>
        <v/>
      </c>
    </row>
    <row r="288" spans="2:11" x14ac:dyDescent="0.2">
      <c r="B288" s="498"/>
      <c r="C288" s="497" t="s">
        <v>23</v>
      </c>
      <c r="D288" s="497"/>
      <c r="E288" s="497"/>
      <c r="F288" s="149">
        <f>SUM(F286:F287)</f>
        <v>50000</v>
      </c>
      <c r="G288" s="149">
        <f t="shared" ref="G288:I288" si="79">SUM(G286:G287)</f>
        <v>50000</v>
      </c>
      <c r="H288" s="149">
        <f t="shared" si="79"/>
        <v>0</v>
      </c>
      <c r="I288" s="149">
        <f t="shared" si="79"/>
        <v>300</v>
      </c>
      <c r="J288" s="149">
        <f>SUM(J286:J287)</f>
        <v>180000</v>
      </c>
      <c r="K288" s="112">
        <f>IFERROR(J288/F288,"")</f>
        <v>3.6</v>
      </c>
    </row>
    <row r="289" spans="2:11" x14ac:dyDescent="0.2">
      <c r="B289" s="432" t="s">
        <v>267</v>
      </c>
      <c r="C289" s="433"/>
      <c r="D289" s="433"/>
      <c r="E289" s="433"/>
      <c r="F289" s="150">
        <f>F284+F288</f>
        <v>221000</v>
      </c>
      <c r="G289" s="150">
        <f t="shared" ref="G289:J289" si="80">G284+G288</f>
        <v>221000</v>
      </c>
      <c r="H289" s="150">
        <f t="shared" si="80"/>
        <v>1849.4380000000001</v>
      </c>
      <c r="I289" s="150">
        <f t="shared" si="80"/>
        <v>48200</v>
      </c>
      <c r="J289" s="150">
        <f t="shared" si="80"/>
        <v>334500</v>
      </c>
      <c r="K289" s="112">
        <f>IFERROR(J289/F289,"")</f>
        <v>1.5135746606334841</v>
      </c>
    </row>
    <row r="290" spans="2:11" x14ac:dyDescent="0.2">
      <c r="B290" s="468" t="s">
        <v>442</v>
      </c>
      <c r="C290" s="469"/>
      <c r="D290" s="469"/>
      <c r="E290" s="469"/>
      <c r="F290" s="469"/>
      <c r="G290" s="469"/>
      <c r="H290" s="469"/>
      <c r="I290" s="469"/>
      <c r="J290" s="469"/>
      <c r="K290" s="470"/>
    </row>
    <row r="291" spans="2:11" x14ac:dyDescent="0.2">
      <c r="B291" s="498">
        <v>63</v>
      </c>
      <c r="C291" s="500" t="s">
        <v>4</v>
      </c>
      <c r="D291" s="500"/>
      <c r="E291" s="500"/>
      <c r="F291" s="500"/>
      <c r="G291" s="500"/>
      <c r="H291" s="500"/>
      <c r="I291" s="500"/>
      <c r="J291" s="500"/>
      <c r="K291" s="501"/>
    </row>
    <row r="292" spans="2:11" ht="14.25" customHeight="1" x14ac:dyDescent="0.2">
      <c r="B292" s="498"/>
      <c r="C292" s="499">
        <v>1</v>
      </c>
      <c r="D292" s="13">
        <v>26301001</v>
      </c>
      <c r="E292" s="179" t="s">
        <v>107</v>
      </c>
      <c r="F292" s="11">
        <f>IF(' جهات'!G277&gt;0,' جهات'!G277,"")</f>
        <v>40000</v>
      </c>
      <c r="G292" s="11">
        <f>IF(' جهات'!H277&gt;0,' جهات'!H277,"")</f>
        <v>40000</v>
      </c>
      <c r="H292" s="11">
        <f>IF(' جهات'!I277&gt;0,' جهات'!I277,"")</f>
        <v>2423.1999999999998</v>
      </c>
      <c r="I292" s="11">
        <f>IF(' جهات'!J277&gt;0,' جهات'!J277,"")</f>
        <v>9257.5</v>
      </c>
      <c r="J292" s="137">
        <f>IF(' جهات'!K277&gt;0,' جهات'!K277,"")</f>
        <v>40000</v>
      </c>
      <c r="K292" s="112">
        <f t="shared" ref="K292:K298" si="81">IFERROR(J292/F292,"")</f>
        <v>1</v>
      </c>
    </row>
    <row r="293" spans="2:11" ht="14.25" customHeight="1" x14ac:dyDescent="0.2">
      <c r="B293" s="498"/>
      <c r="C293" s="499"/>
      <c r="D293" s="29">
        <v>26301006</v>
      </c>
      <c r="E293" s="179" t="s">
        <v>5</v>
      </c>
      <c r="F293" s="11">
        <f>IF(' جهات'!G292&gt;0,' جهات'!G292,"")</f>
        <v>4000</v>
      </c>
      <c r="G293" s="11">
        <f>IF(' جهات'!H292&gt;0,' جهات'!H292,"")</f>
        <v>4000</v>
      </c>
      <c r="H293" s="11" t="str">
        <f>IF(' جهات'!I292&gt;0,' جهات'!I292,"")</f>
        <v/>
      </c>
      <c r="I293" s="11" t="str">
        <f>IF(' جهات'!J292&gt;0,' جهات'!J292,"")</f>
        <v/>
      </c>
      <c r="J293" s="137">
        <f>IF(' جهات'!K292&gt;0,' جهات'!K292,"")</f>
        <v>5000</v>
      </c>
      <c r="K293" s="112">
        <f t="shared" si="81"/>
        <v>1.25</v>
      </c>
    </row>
    <row r="294" spans="2:11" s="46" customFormat="1" ht="14.25" customHeight="1" x14ac:dyDescent="0.2">
      <c r="B294" s="498"/>
      <c r="C294" s="499"/>
      <c r="D294" s="29">
        <v>26301007</v>
      </c>
      <c r="E294" s="179" t="s">
        <v>465</v>
      </c>
      <c r="F294" s="11">
        <f>IF(' جهات'!G213&gt;0,' جهات'!G213,"")</f>
        <v>5000</v>
      </c>
      <c r="G294" s="11">
        <f>IF(' جهات'!H213&gt;0,' جهات'!H213,"")</f>
        <v>5000</v>
      </c>
      <c r="H294" s="11">
        <f>IF(' جهات'!I213&gt;0,' جهات'!I213,"")</f>
        <v>403.99799999999999</v>
      </c>
      <c r="I294" s="11">
        <f>IF(' جهات'!J213&gt;0,' جهات'!J213,"")</f>
        <v>144.00200000000001</v>
      </c>
      <c r="J294" s="137">
        <f>IF(' جهات'!K213&gt;0,' جهات'!K213,"")</f>
        <v>5000</v>
      </c>
      <c r="K294" s="112">
        <f t="shared" si="81"/>
        <v>1</v>
      </c>
    </row>
    <row r="295" spans="2:11" s="46" customFormat="1" ht="14.25" customHeight="1" x14ac:dyDescent="0.2">
      <c r="B295" s="498"/>
      <c r="C295" s="499"/>
      <c r="D295" s="120">
        <v>26301015</v>
      </c>
      <c r="E295" s="180" t="s">
        <v>485</v>
      </c>
      <c r="F295" s="65">
        <f>IF(' جهات'!G71&gt;0,' جهات'!G71,"")</f>
        <v>250000</v>
      </c>
      <c r="G295" s="65">
        <f>IF(' جهات'!H71&gt;0,' جهات'!H71,"")</f>
        <v>250000</v>
      </c>
      <c r="H295" s="65" t="str">
        <f>IF(' جهات'!I71&gt;0,' جهات'!I71,"")</f>
        <v/>
      </c>
      <c r="I295" s="65" t="str">
        <f>IF(' جهات'!J71&gt;0,' جهات'!J71,"")</f>
        <v/>
      </c>
      <c r="J295" s="137" t="str">
        <f>IF(' جهات'!K71&gt;0,' جهات'!K71,"")</f>
        <v/>
      </c>
      <c r="K295" s="112" t="str">
        <f t="shared" si="81"/>
        <v/>
      </c>
    </row>
    <row r="296" spans="2:11" s="46" customFormat="1" ht="14.25" customHeight="1" x14ac:dyDescent="0.2">
      <c r="B296" s="498"/>
      <c r="C296" s="499"/>
      <c r="D296" s="29">
        <v>26301016</v>
      </c>
      <c r="E296" s="179" t="s">
        <v>487</v>
      </c>
      <c r="F296" s="11">
        <f>IF(' جهات'!G139&gt;0,' جهات'!G139,"")</f>
        <v>350000</v>
      </c>
      <c r="G296" s="11">
        <f>IF(' جهات'!H139&gt;0,' جهات'!H139,"")</f>
        <v>350000</v>
      </c>
      <c r="H296" s="11" t="str">
        <f>IF(' جهات'!I139&gt;0,' جهات'!I139,"")</f>
        <v/>
      </c>
      <c r="I296" s="11" t="str">
        <f>IF(' جهات'!J139&gt;0,' جهات'!J139,"")</f>
        <v/>
      </c>
      <c r="J296" s="137">
        <f>IF(' جهات'!K139&gt;0,' جهات'!K139,"")</f>
        <v>5000</v>
      </c>
      <c r="K296" s="112">
        <f t="shared" si="81"/>
        <v>1.4285714285714285E-2</v>
      </c>
    </row>
    <row r="297" spans="2:11" s="46" customFormat="1" ht="14.25" customHeight="1" x14ac:dyDescent="0.2">
      <c r="B297" s="498"/>
      <c r="C297" s="499"/>
      <c r="D297" s="29">
        <v>26301019</v>
      </c>
      <c r="E297" s="179" t="s">
        <v>504</v>
      </c>
      <c r="F297" s="11">
        <f>IF(' جهات'!G91&gt;0,' جهات'!G91,"")</f>
        <v>20000</v>
      </c>
      <c r="G297" s="11">
        <f>IF(' جهات'!H91&gt;0,' جهات'!H91,"")</f>
        <v>20000</v>
      </c>
      <c r="H297" s="11" t="str">
        <f>IF(' جهات'!I91&gt;0,' جهات'!I91,"")</f>
        <v/>
      </c>
      <c r="I297" s="11" t="str">
        <f>IF(' جهات'!J91&gt;0,' جهات'!J91,"")</f>
        <v/>
      </c>
      <c r="J297" s="137">
        <f>IF(' جهات'!K91&gt;0,' جهات'!K91,"")</f>
        <v>20000</v>
      </c>
      <c r="K297" s="112">
        <f t="shared" si="81"/>
        <v>1</v>
      </c>
    </row>
    <row r="298" spans="2:11" x14ac:dyDescent="0.2">
      <c r="B298" s="498"/>
      <c r="C298" s="497" t="s">
        <v>23</v>
      </c>
      <c r="D298" s="497"/>
      <c r="E298" s="497"/>
      <c r="F298" s="149">
        <f>SUM(F292:F297)</f>
        <v>669000</v>
      </c>
      <c r="G298" s="149">
        <f t="shared" ref="G298:J298" si="82">SUM(G292:G297)</f>
        <v>669000</v>
      </c>
      <c r="H298" s="149">
        <f t="shared" si="82"/>
        <v>2827.1979999999999</v>
      </c>
      <c r="I298" s="149">
        <f t="shared" si="82"/>
        <v>9401.5020000000004</v>
      </c>
      <c r="J298" s="149">
        <f t="shared" si="82"/>
        <v>75000</v>
      </c>
      <c r="K298" s="112">
        <f t="shared" si="81"/>
        <v>0.11210762331838565</v>
      </c>
    </row>
    <row r="299" spans="2:11" x14ac:dyDescent="0.2">
      <c r="B299" s="498"/>
      <c r="C299" s="500" t="s">
        <v>247</v>
      </c>
      <c r="D299" s="500"/>
      <c r="E299" s="500"/>
      <c r="F299" s="500"/>
      <c r="G299" s="500"/>
      <c r="H299" s="500"/>
      <c r="I299" s="500"/>
      <c r="J299" s="500"/>
      <c r="K299" s="501"/>
    </row>
    <row r="300" spans="2:11" ht="15" customHeight="1" x14ac:dyDescent="0.2">
      <c r="B300" s="498"/>
      <c r="C300" s="499">
        <v>2</v>
      </c>
      <c r="D300" s="29">
        <v>26302001</v>
      </c>
      <c r="E300" s="179" t="s">
        <v>248</v>
      </c>
      <c r="F300" s="11">
        <f>IF(' جهات'!G278&gt;0,' جهات'!G278,"")</f>
        <v>30000</v>
      </c>
      <c r="G300" s="11">
        <f>IF(' جهات'!H278&gt;0,' جهات'!H278,"")</f>
        <v>30000</v>
      </c>
      <c r="H300" s="11">
        <f>IF(' جهات'!I278&gt;0,' جهات'!I278,"")</f>
        <v>160</v>
      </c>
      <c r="I300" s="11">
        <f>IF(' جهات'!J278&gt;0,' جهات'!J278,"")</f>
        <v>13200</v>
      </c>
      <c r="J300" s="137">
        <f>IF(' جهات'!K278&gt;0,' جهات'!K278,"")</f>
        <v>15000</v>
      </c>
      <c r="K300" s="112">
        <f t="shared" ref="K300:K305" si="83">IFERROR(J300/F300,"")</f>
        <v>0.5</v>
      </c>
    </row>
    <row r="301" spans="2:11" ht="15" customHeight="1" x14ac:dyDescent="0.2">
      <c r="B301" s="498"/>
      <c r="C301" s="499"/>
      <c r="D301" s="29">
        <v>26302004</v>
      </c>
      <c r="E301" s="179" t="s">
        <v>6</v>
      </c>
      <c r="F301" s="11">
        <f>IF(' جهات'!G45+' جهات'!G19&gt;0,' جهات'!G45+' جهات'!G19,"")</f>
        <v>25000</v>
      </c>
      <c r="G301" s="11">
        <f>IF(' جهات'!H45+' جهات'!H19&gt;0,' جهات'!H45+' جهات'!H19,"")</f>
        <v>25000</v>
      </c>
      <c r="H301" s="11" t="str">
        <f>IF(' جهات'!I45+' جهات'!I19&gt;0,' جهات'!I45+' جهات'!I19,"")</f>
        <v/>
      </c>
      <c r="I301" s="11" t="str">
        <f>IF(' جهات'!J45+' جهات'!J19&gt;0,' جهات'!J45+' جهات'!J19,"")</f>
        <v/>
      </c>
      <c r="J301" s="137">
        <f>IF(' جهات'!K45+' جهات'!K19&gt;0,' جهات'!K45+' جهات'!K19,"")</f>
        <v>1000</v>
      </c>
      <c r="K301" s="112">
        <f t="shared" si="83"/>
        <v>0.04</v>
      </c>
    </row>
    <row r="302" spans="2:11" ht="15" customHeight="1" x14ac:dyDescent="0.2">
      <c r="B302" s="498"/>
      <c r="C302" s="499"/>
      <c r="D302" s="29">
        <v>26302005</v>
      </c>
      <c r="E302" s="179" t="s">
        <v>490</v>
      </c>
      <c r="F302" s="11">
        <f>IF(' جهات'!G195&gt;0,' جهات'!G195,"")</f>
        <v>20000</v>
      </c>
      <c r="G302" s="11">
        <f>IF(' جهات'!H195&gt;0,' جهات'!H195,"")</f>
        <v>20000</v>
      </c>
      <c r="H302" s="11">
        <f>IF(' جهات'!I195&gt;0,' جهات'!I195,"")</f>
        <v>515</v>
      </c>
      <c r="I302" s="11">
        <f>IF(' جهات'!J195&gt;0,' جهات'!J195,"")</f>
        <v>285</v>
      </c>
      <c r="J302" s="137">
        <f>IF(' جهات'!K195&gt;0,' جهات'!K195,"")</f>
        <v>20000</v>
      </c>
      <c r="K302" s="112">
        <f t="shared" si="83"/>
        <v>1</v>
      </c>
    </row>
    <row r="303" spans="2:11" ht="15" customHeight="1" x14ac:dyDescent="0.2">
      <c r="B303" s="498"/>
      <c r="C303" s="499"/>
      <c r="D303" s="29">
        <v>26302007</v>
      </c>
      <c r="E303" s="179" t="s">
        <v>304</v>
      </c>
      <c r="F303" s="11">
        <f>IF(' جهات'!G98&gt;0,' جهات'!G98,"")</f>
        <v>15000</v>
      </c>
      <c r="G303" s="11">
        <f>IF(' جهات'!H98&gt;0,' جهات'!H98,"")</f>
        <v>15000</v>
      </c>
      <c r="H303" s="11" t="str">
        <f>IF(' جهات'!I98&gt;0,' جهات'!I98,"")</f>
        <v/>
      </c>
      <c r="I303" s="11" t="str">
        <f>IF(' جهات'!J98&gt;0,' جهات'!J98,"")</f>
        <v/>
      </c>
      <c r="J303" s="137">
        <f>IF(' جهات'!K98&gt;0,' جهات'!K98,"")</f>
        <v>10000</v>
      </c>
      <c r="K303" s="112">
        <f t="shared" si="83"/>
        <v>0.66666666666666663</v>
      </c>
    </row>
    <row r="304" spans="2:11" s="46" customFormat="1" ht="15" customHeight="1" x14ac:dyDescent="0.2">
      <c r="B304" s="498"/>
      <c r="C304" s="499"/>
      <c r="D304" s="29">
        <v>26302008</v>
      </c>
      <c r="E304" s="179" t="s">
        <v>470</v>
      </c>
      <c r="F304" s="11">
        <f>IF(' جهات'!G264&gt;0,' جهات'!G264,"")</f>
        <v>15000</v>
      </c>
      <c r="G304" s="11">
        <f>IF(' جهات'!H264&gt;0,' جهات'!H264,"")</f>
        <v>15000</v>
      </c>
      <c r="H304" s="11">
        <f>IF(' جهات'!I264&gt;0,' جهات'!I264,"")</f>
        <v>3009.25</v>
      </c>
      <c r="I304" s="11">
        <f>IF(' جهات'!J264&gt;0,' جهات'!J264,"")</f>
        <v>190.75</v>
      </c>
      <c r="J304" s="137">
        <f>IF(' جهات'!K264&gt;0,' جهات'!K264,"")</f>
        <v>10000</v>
      </c>
      <c r="K304" s="112">
        <f t="shared" si="83"/>
        <v>0.66666666666666663</v>
      </c>
    </row>
    <row r="305" spans="2:11" ht="15" customHeight="1" x14ac:dyDescent="0.2">
      <c r="B305" s="498"/>
      <c r="C305" s="497" t="s">
        <v>23</v>
      </c>
      <c r="D305" s="497"/>
      <c r="E305" s="497"/>
      <c r="F305" s="149">
        <f>SUM(F300:F304)</f>
        <v>105000</v>
      </c>
      <c r="G305" s="149">
        <f t="shared" ref="G305:I305" si="84">SUM(G300:G304)</f>
        <v>105000</v>
      </c>
      <c r="H305" s="149">
        <f>SUM(H300:H304)</f>
        <v>3684.25</v>
      </c>
      <c r="I305" s="149">
        <f t="shared" si="84"/>
        <v>13675.75</v>
      </c>
      <c r="J305" s="149">
        <f>SUM(J300:J304)</f>
        <v>56000</v>
      </c>
      <c r="K305" s="112">
        <f t="shared" si="83"/>
        <v>0.53333333333333333</v>
      </c>
    </row>
    <row r="306" spans="2:11" x14ac:dyDescent="0.2">
      <c r="B306" s="498"/>
      <c r="C306" s="500" t="s">
        <v>7</v>
      </c>
      <c r="D306" s="500"/>
      <c r="E306" s="500"/>
      <c r="F306" s="500"/>
      <c r="G306" s="500"/>
      <c r="H306" s="500"/>
      <c r="I306" s="500"/>
      <c r="J306" s="500"/>
      <c r="K306" s="501"/>
    </row>
    <row r="307" spans="2:11" ht="15" customHeight="1" x14ac:dyDescent="0.2">
      <c r="B307" s="498"/>
      <c r="C307" s="499">
        <v>3</v>
      </c>
      <c r="D307" s="29">
        <v>26303001</v>
      </c>
      <c r="E307" s="179" t="s">
        <v>305</v>
      </c>
      <c r="F307" s="11">
        <f>IF(' جهات'!G196&gt;0,' جهات'!G196,"")</f>
        <v>10000</v>
      </c>
      <c r="G307" s="11">
        <f>IF(' جهات'!H196&gt;0,' جهات'!H196,"")</f>
        <v>10000</v>
      </c>
      <c r="H307" s="11" t="str">
        <f>IF(' جهات'!I196&gt;0,' جهات'!I196,"")</f>
        <v/>
      </c>
      <c r="I307" s="11">
        <f>IF(' جهات'!J196&gt;0,' جهات'!J196,"")</f>
        <v>1150</v>
      </c>
      <c r="J307" s="137">
        <f>IF(' جهات'!K196&gt;0,' جهات'!K196,"")</f>
        <v>10000</v>
      </c>
      <c r="K307" s="112">
        <f>IFERROR(J307/F307,"")</f>
        <v>1</v>
      </c>
    </row>
    <row r="308" spans="2:11" ht="15" customHeight="1" x14ac:dyDescent="0.2">
      <c r="B308" s="498"/>
      <c r="C308" s="499"/>
      <c r="D308" s="29">
        <v>26303002</v>
      </c>
      <c r="E308" s="179" t="s">
        <v>314</v>
      </c>
      <c r="F308" s="11">
        <f>IF(' جهات'!G197&gt;0,' جهات'!G197,"")</f>
        <v>3000</v>
      </c>
      <c r="G308" s="11">
        <f>IF(' جهات'!H197&gt;0,' جهات'!H197,"")</f>
        <v>3000</v>
      </c>
      <c r="H308" s="11" t="str">
        <f>IF(' جهات'!I197&gt;0,' جهات'!I197,"")</f>
        <v/>
      </c>
      <c r="I308" s="11" t="str">
        <f>IF(' جهات'!J197&gt;0,' جهات'!J197,"")</f>
        <v/>
      </c>
      <c r="J308" s="137">
        <f>IF(' جهات'!K197&gt;0,' جهات'!K197,"")</f>
        <v>4000</v>
      </c>
      <c r="K308" s="112">
        <f>IFERROR(J308/F308,"")</f>
        <v>1.3333333333333333</v>
      </c>
    </row>
    <row r="309" spans="2:11" ht="15" customHeight="1" x14ac:dyDescent="0.2">
      <c r="B309" s="498"/>
      <c r="C309" s="497" t="s">
        <v>23</v>
      </c>
      <c r="D309" s="497"/>
      <c r="E309" s="497"/>
      <c r="F309" s="149">
        <f>SUM(F307:F308)</f>
        <v>13000</v>
      </c>
      <c r="G309" s="149">
        <f t="shared" ref="G309:J309" si="85">SUM(G307:G308)</f>
        <v>13000</v>
      </c>
      <c r="H309" s="149">
        <f t="shared" si="85"/>
        <v>0</v>
      </c>
      <c r="I309" s="149">
        <f t="shared" si="85"/>
        <v>1150</v>
      </c>
      <c r="J309" s="149">
        <f t="shared" si="85"/>
        <v>14000</v>
      </c>
      <c r="K309" s="112">
        <f>IFERROR(J309/F309,"")</f>
        <v>1.0769230769230769</v>
      </c>
    </row>
    <row r="310" spans="2:11" x14ac:dyDescent="0.2">
      <c r="B310" s="432" t="s">
        <v>147</v>
      </c>
      <c r="C310" s="433"/>
      <c r="D310" s="433"/>
      <c r="E310" s="433"/>
      <c r="F310" s="150">
        <f>F298+F305+F309</f>
        <v>787000</v>
      </c>
      <c r="G310" s="150">
        <f t="shared" ref="G310:J310" si="86">G298+G305+G309</f>
        <v>787000</v>
      </c>
      <c r="H310" s="150">
        <f>H298+H305+H309</f>
        <v>6511.4480000000003</v>
      </c>
      <c r="I310" s="150">
        <f t="shared" si="86"/>
        <v>24227.252</v>
      </c>
      <c r="J310" s="150">
        <f t="shared" si="86"/>
        <v>145000</v>
      </c>
      <c r="K310" s="112">
        <f>IFERROR(J310/F310,"")</f>
        <v>0.18424396442185514</v>
      </c>
    </row>
    <row r="311" spans="2:11" x14ac:dyDescent="0.2">
      <c r="B311" s="468" t="s">
        <v>308</v>
      </c>
      <c r="C311" s="469"/>
      <c r="D311" s="469"/>
      <c r="E311" s="469"/>
      <c r="F311" s="469"/>
      <c r="G311" s="469"/>
      <c r="H311" s="469"/>
      <c r="I311" s="469"/>
      <c r="J311" s="469"/>
      <c r="K311" s="470"/>
    </row>
    <row r="312" spans="2:11" x14ac:dyDescent="0.2">
      <c r="B312" s="498">
        <v>64</v>
      </c>
      <c r="C312" s="500" t="s">
        <v>9</v>
      </c>
      <c r="D312" s="500"/>
      <c r="E312" s="500"/>
      <c r="F312" s="500"/>
      <c r="G312" s="500"/>
      <c r="H312" s="500"/>
      <c r="I312" s="500"/>
      <c r="J312" s="500"/>
      <c r="K312" s="501"/>
    </row>
    <row r="313" spans="2:11" ht="14.25" customHeight="1" x14ac:dyDescent="0.2">
      <c r="B313" s="498"/>
      <c r="C313" s="499">
        <v>1</v>
      </c>
      <c r="D313" s="29">
        <v>26401017</v>
      </c>
      <c r="E313" s="179" t="s">
        <v>9</v>
      </c>
      <c r="F313" s="11">
        <f>IF(' جهات'!G308&gt;0,' جهات'!G308,"")</f>
        <v>10000</v>
      </c>
      <c r="G313" s="11">
        <f>IF(' جهات'!H308&gt;0,' جهات'!H308,"")</f>
        <v>10000</v>
      </c>
      <c r="H313" s="11" t="str">
        <f>IF(' جهات'!I308&gt;0,' جهات'!I308,"")</f>
        <v/>
      </c>
      <c r="I313" s="11" t="str">
        <f>IF(' جهات'!J308&gt;0,' جهات'!J308,"")</f>
        <v/>
      </c>
      <c r="J313" s="137">
        <f>IF(' جهات'!K308&gt;0,' جهات'!K308,"")</f>
        <v>50000</v>
      </c>
      <c r="K313" s="112">
        <f>IFERROR(J313/F313,"")</f>
        <v>5</v>
      </c>
    </row>
    <row r="314" spans="2:11" ht="14.25" customHeight="1" x14ac:dyDescent="0.2">
      <c r="B314" s="498"/>
      <c r="C314" s="499"/>
      <c r="D314" s="29">
        <v>26401018</v>
      </c>
      <c r="E314" s="179" t="s">
        <v>249</v>
      </c>
      <c r="F314" s="11">
        <f>IF(' جهات'!G326+' جهات'!G309&gt;0,' جهات'!G326+' جهات'!G309,"")</f>
        <v>15000</v>
      </c>
      <c r="G314" s="11">
        <f>IF(' جهات'!H326+' جهات'!H309&gt;0,' جهات'!H326+' جهات'!H309,"")</f>
        <v>15000</v>
      </c>
      <c r="H314" s="11" t="str">
        <f>IF(' جهات'!I326+' جهات'!I309&gt;0,' جهات'!I326+' جهات'!I309,"")</f>
        <v/>
      </c>
      <c r="I314" s="11" t="str">
        <f>IF(' جهات'!J326+' جهات'!J309&gt;0,' جهات'!J326+' جهات'!J309,"")</f>
        <v/>
      </c>
      <c r="J314" s="137">
        <f>IF(' جهات'!K326+' جهات'!K309&gt;0,' جهات'!K326+' جهات'!K309,"")</f>
        <v>15000</v>
      </c>
      <c r="K314" s="112">
        <f>IFERROR(J314/F314,"")</f>
        <v>1</v>
      </c>
    </row>
    <row r="315" spans="2:11" x14ac:dyDescent="0.2">
      <c r="B315" s="498"/>
      <c r="C315" s="497" t="s">
        <v>23</v>
      </c>
      <c r="D315" s="497"/>
      <c r="E315" s="497"/>
      <c r="F315" s="149">
        <f>SUM(F313:F314)</f>
        <v>25000</v>
      </c>
      <c r="G315" s="149">
        <f t="shared" ref="G315:J315" si="87">SUM(G313:G314)</f>
        <v>25000</v>
      </c>
      <c r="H315" s="149">
        <f t="shared" si="87"/>
        <v>0</v>
      </c>
      <c r="I315" s="149">
        <f t="shared" si="87"/>
        <v>0</v>
      </c>
      <c r="J315" s="149">
        <f t="shared" si="87"/>
        <v>65000</v>
      </c>
      <c r="K315" s="112">
        <f>IFERROR(J315/F315,"")</f>
        <v>2.6</v>
      </c>
    </row>
    <row r="316" spans="2:11" x14ac:dyDescent="0.2">
      <c r="B316" s="498"/>
      <c r="C316" s="500" t="s">
        <v>310</v>
      </c>
      <c r="D316" s="500"/>
      <c r="E316" s="500"/>
      <c r="F316" s="500"/>
      <c r="G316" s="500"/>
      <c r="H316" s="500"/>
      <c r="I316" s="500"/>
      <c r="J316" s="500"/>
      <c r="K316" s="501"/>
    </row>
    <row r="317" spans="2:11" ht="15" customHeight="1" x14ac:dyDescent="0.2">
      <c r="B317" s="498"/>
      <c r="C317" s="522">
        <v>2</v>
      </c>
      <c r="D317" s="29">
        <v>26402001</v>
      </c>
      <c r="E317" s="179" t="s">
        <v>306</v>
      </c>
      <c r="F317" s="11">
        <f>IF(' جهات'!G344&gt;0,' جهات'!G344,"")</f>
        <v>80000</v>
      </c>
      <c r="G317" s="11">
        <f>IF(' جهات'!H344&gt;0,' جهات'!H344,"")</f>
        <v>80000</v>
      </c>
      <c r="H317" s="11" t="str">
        <f>IF(' جهات'!I344&gt;0,' جهات'!I344,"")</f>
        <v/>
      </c>
      <c r="I317" s="11" t="str">
        <f>IF(' جهات'!J344&gt;0,' جهات'!J344,"")</f>
        <v/>
      </c>
      <c r="J317" s="137">
        <f>IF(' جهات'!K344&gt;0,' جهات'!K344,"")</f>
        <v>10000</v>
      </c>
      <c r="K317" s="112">
        <f t="shared" ref="K317:K323" si="88">IFERROR(J317/F317,"")</f>
        <v>0.125</v>
      </c>
    </row>
    <row r="318" spans="2:11" ht="15" customHeight="1" x14ac:dyDescent="0.2">
      <c r="B318" s="498"/>
      <c r="C318" s="522"/>
      <c r="D318" s="29">
        <v>26402002</v>
      </c>
      <c r="E318" s="179" t="s">
        <v>307</v>
      </c>
      <c r="F318" s="11">
        <f>IF(' جهات'!G392&gt;0,' جهات'!G392,"")</f>
        <v>15000</v>
      </c>
      <c r="G318" s="11">
        <f>IF(' جهات'!H392&gt;0,' جهات'!H392,"")</f>
        <v>15000</v>
      </c>
      <c r="H318" s="11" t="str">
        <f>IF(' جهات'!I392&gt;0,' جهات'!I392,"")</f>
        <v/>
      </c>
      <c r="I318" s="11" t="str">
        <f>IF(' جهات'!J392&gt;0,' جهات'!J392,"")</f>
        <v/>
      </c>
      <c r="J318" s="137">
        <f>IF(' جهات'!K392&gt;0,' جهات'!K392,"")</f>
        <v>20000</v>
      </c>
      <c r="K318" s="112">
        <f t="shared" si="88"/>
        <v>1.3333333333333333</v>
      </c>
    </row>
    <row r="319" spans="2:11" ht="15" customHeight="1" x14ac:dyDescent="0.2">
      <c r="B319" s="498"/>
      <c r="C319" s="522"/>
      <c r="D319" s="29">
        <v>26402003</v>
      </c>
      <c r="E319" s="179" t="s">
        <v>494</v>
      </c>
      <c r="F319" s="11">
        <f>IF(' جهات'!G327+' جهات'!G310&gt;0,' جهات'!G327+' جهات'!G310,"")</f>
        <v>5000</v>
      </c>
      <c r="G319" s="11">
        <f>IF(' جهات'!H327+' جهات'!H310&gt;0,' جهات'!H327+' جهات'!H310,"")</f>
        <v>5000</v>
      </c>
      <c r="H319" s="11">
        <f>IF(' جهات'!I327+' جهات'!I310&gt;0,' جهات'!I327+' جهات'!I310,"")</f>
        <v>1098</v>
      </c>
      <c r="I319" s="11">
        <f>IF(' جهات'!J327+' جهات'!J310&gt;0,' جهات'!J327+' جهات'!J310,"")</f>
        <v>1807</v>
      </c>
      <c r="J319" s="137">
        <f>IF(' جهات'!K327+' جهات'!K310&gt;0,' جهات'!K327+' جهات'!K310,"")</f>
        <v>15000</v>
      </c>
      <c r="K319" s="112">
        <f t="shared" si="88"/>
        <v>3</v>
      </c>
    </row>
    <row r="320" spans="2:11" ht="15" customHeight="1" x14ac:dyDescent="0.2">
      <c r="B320" s="498"/>
      <c r="C320" s="522"/>
      <c r="D320" s="29">
        <v>26402004</v>
      </c>
      <c r="E320" s="179" t="s">
        <v>309</v>
      </c>
      <c r="F320" s="11">
        <f>IF(' جهات'!G311&gt;0,' جهات'!G311,"")</f>
        <v>15000</v>
      </c>
      <c r="G320" s="11">
        <f>IF(' جهات'!H311&gt;0,' جهات'!H311,"")</f>
        <v>15000</v>
      </c>
      <c r="H320" s="11" t="str">
        <f>IF(' جهات'!I311&gt;0,' جهات'!I311,"")</f>
        <v/>
      </c>
      <c r="I320" s="11" t="str">
        <f>IF(' جهات'!J311&gt;0,' جهات'!J311,"")</f>
        <v/>
      </c>
      <c r="J320" s="137">
        <f>IF(' جهات'!K311&gt;0,' جهات'!K311,"")</f>
        <v>15000</v>
      </c>
      <c r="K320" s="112">
        <f t="shared" si="88"/>
        <v>1</v>
      </c>
    </row>
    <row r="321" spans="2:11" ht="15" customHeight="1" x14ac:dyDescent="0.2">
      <c r="B321" s="498"/>
      <c r="C321" s="522"/>
      <c r="D321" s="29">
        <v>26402005</v>
      </c>
      <c r="E321" s="179" t="s">
        <v>317</v>
      </c>
      <c r="F321" s="11">
        <f>IF(' جهات'!G20&gt;0,' جهات'!G20,"")</f>
        <v>7000</v>
      </c>
      <c r="G321" s="11">
        <f>IF(' جهات'!H20&gt;0,' جهات'!H20,"")</f>
        <v>7000</v>
      </c>
      <c r="H321" s="11" t="str">
        <f>IF(' جهات'!I20&gt;0,' جهات'!I20,"")</f>
        <v/>
      </c>
      <c r="I321" s="11" t="str">
        <f>IF(' جهات'!J20&gt;0,' جهات'!J20,"")</f>
        <v/>
      </c>
      <c r="J321" s="137">
        <f>IF(' جهات'!K20&gt;0,' جهات'!K20,"")</f>
        <v>5000</v>
      </c>
      <c r="K321" s="112">
        <f t="shared" si="88"/>
        <v>0.7142857142857143</v>
      </c>
    </row>
    <row r="322" spans="2:11" ht="15" customHeight="1" x14ac:dyDescent="0.2">
      <c r="B322" s="498"/>
      <c r="C322" s="522"/>
      <c r="D322" s="29">
        <v>26402006</v>
      </c>
      <c r="E322" s="179" t="s">
        <v>326</v>
      </c>
      <c r="F322" s="11">
        <f>IF(' جهات'!G265+' جهات'!G382&gt;0,' جهات'!G265+' جهات'!G382,"")</f>
        <v>15000</v>
      </c>
      <c r="G322" s="11">
        <f>IF(' جهات'!H265+' جهات'!H382&gt;0,' جهات'!H265+' جهات'!H382,"")</f>
        <v>15000</v>
      </c>
      <c r="H322" s="11" t="str">
        <f>IF(' جهات'!I265+' جهات'!I382&gt;0,' جهات'!I265+' جهات'!I382,"")</f>
        <v/>
      </c>
      <c r="I322" s="11" t="str">
        <f>IF(' جهات'!J265+' جهات'!J382&gt;0,' جهات'!J265+' جهات'!J382,"")</f>
        <v/>
      </c>
      <c r="J322" s="137">
        <f>IF(' جهات'!K265+' جهات'!K382&gt;0,' جهات'!K265+' جهات'!K382,"")</f>
        <v>20000</v>
      </c>
      <c r="K322" s="112">
        <f t="shared" si="88"/>
        <v>1.3333333333333333</v>
      </c>
    </row>
    <row r="323" spans="2:11" x14ac:dyDescent="0.2">
      <c r="B323" s="498"/>
      <c r="C323" s="497" t="s">
        <v>23</v>
      </c>
      <c r="D323" s="497"/>
      <c r="E323" s="497"/>
      <c r="F323" s="149">
        <f>SUM(F317:F322)</f>
        <v>137000</v>
      </c>
      <c r="G323" s="149">
        <f t="shared" ref="G323:J323" si="89">SUM(G317:G322)</f>
        <v>137000</v>
      </c>
      <c r="H323" s="149">
        <f t="shared" si="89"/>
        <v>1098</v>
      </c>
      <c r="I323" s="149">
        <f t="shared" si="89"/>
        <v>1807</v>
      </c>
      <c r="J323" s="149">
        <f t="shared" si="89"/>
        <v>85000</v>
      </c>
      <c r="K323" s="112">
        <f t="shared" si="88"/>
        <v>0.62043795620437958</v>
      </c>
    </row>
    <row r="324" spans="2:11" x14ac:dyDescent="0.2">
      <c r="B324" s="498"/>
      <c r="C324" s="500" t="s">
        <v>8</v>
      </c>
      <c r="D324" s="500"/>
      <c r="E324" s="500"/>
      <c r="F324" s="500"/>
      <c r="G324" s="500"/>
      <c r="H324" s="500"/>
      <c r="I324" s="500"/>
      <c r="J324" s="500"/>
      <c r="K324" s="501"/>
    </row>
    <row r="325" spans="2:11" ht="15" customHeight="1" x14ac:dyDescent="0.2">
      <c r="B325" s="498"/>
      <c r="C325" s="522">
        <v>4</v>
      </c>
      <c r="D325" s="29">
        <v>26404001</v>
      </c>
      <c r="E325" s="179" t="s">
        <v>315</v>
      </c>
      <c r="F325" s="11">
        <f>IF(' جهات'!G345&gt;0,' جهات'!G345,"")</f>
        <v>30000</v>
      </c>
      <c r="G325" s="11">
        <f>IF(' جهات'!H345&gt;0,' جهات'!H345,"")</f>
        <v>30000</v>
      </c>
      <c r="H325" s="11" t="str">
        <f>IF(' جهات'!I345&gt;0,' جهات'!I345,"")</f>
        <v/>
      </c>
      <c r="I325" s="11" t="str">
        <f>IF(' جهات'!J345&gt;0,' جهات'!J345,"")</f>
        <v/>
      </c>
      <c r="J325" s="137">
        <f>IF(' جهات'!K345&gt;0,' جهات'!K345,"")</f>
        <v>20000</v>
      </c>
      <c r="K325" s="112">
        <f>IFERROR(J325/F325,"")</f>
        <v>0.66666666666666663</v>
      </c>
    </row>
    <row r="326" spans="2:11" ht="15" customHeight="1" x14ac:dyDescent="0.2">
      <c r="B326" s="498"/>
      <c r="C326" s="522"/>
      <c r="D326" s="29">
        <v>26404002</v>
      </c>
      <c r="E326" s="179" t="s">
        <v>316</v>
      </c>
      <c r="F326" s="11">
        <f>IF(' جهات'!G393&gt;0,' جهات'!G393,"")</f>
        <v>25000</v>
      </c>
      <c r="G326" s="11">
        <f>IF(' جهات'!H393&gt;0,' جهات'!H393,"")</f>
        <v>25000</v>
      </c>
      <c r="H326" s="11">
        <f>IF(' جهات'!I393&gt;0,' جهات'!I393,"")</f>
        <v>3451.2339999999999</v>
      </c>
      <c r="I326" s="11">
        <f>IF(' جهات'!J393&gt;0,' جهات'!J393,"")</f>
        <v>2793.7660000000001</v>
      </c>
      <c r="J326" s="137">
        <f>IF(' جهات'!K393&gt;0,' جهات'!K393,"")</f>
        <v>30000</v>
      </c>
      <c r="K326" s="112">
        <f>IFERROR(J326/F326,"")</f>
        <v>1.2</v>
      </c>
    </row>
    <row r="327" spans="2:11" x14ac:dyDescent="0.2">
      <c r="B327" s="498"/>
      <c r="C327" s="497" t="s">
        <v>23</v>
      </c>
      <c r="D327" s="497"/>
      <c r="E327" s="497"/>
      <c r="F327" s="149">
        <f>SUM(F325:F326)</f>
        <v>55000</v>
      </c>
      <c r="G327" s="149">
        <f t="shared" ref="G327:J327" si="90">SUM(G325:G326)</f>
        <v>55000</v>
      </c>
      <c r="H327" s="149">
        <f>SUM(H325:H326)</f>
        <v>3451.2339999999999</v>
      </c>
      <c r="I327" s="149">
        <f t="shared" si="90"/>
        <v>2793.7660000000001</v>
      </c>
      <c r="J327" s="149">
        <f t="shared" si="90"/>
        <v>50000</v>
      </c>
      <c r="K327" s="112">
        <f>IFERROR(J327/F327,"")</f>
        <v>0.90909090909090906</v>
      </c>
    </row>
    <row r="328" spans="2:11" x14ac:dyDescent="0.2">
      <c r="B328" s="432" t="s">
        <v>311</v>
      </c>
      <c r="C328" s="433"/>
      <c r="D328" s="433"/>
      <c r="E328" s="433"/>
      <c r="F328" s="150">
        <f>F315+F323+F327</f>
        <v>217000</v>
      </c>
      <c r="G328" s="150">
        <f t="shared" ref="G328:J328" si="91">G315+G323+G327</f>
        <v>217000</v>
      </c>
      <c r="H328" s="150">
        <f t="shared" si="91"/>
        <v>4549.2340000000004</v>
      </c>
      <c r="I328" s="150">
        <f t="shared" si="91"/>
        <v>4600.7659999999996</v>
      </c>
      <c r="J328" s="150">
        <f t="shared" si="91"/>
        <v>200000</v>
      </c>
      <c r="K328" s="112">
        <f>IFERROR(J328/F328,"")</f>
        <v>0.92165898617511521</v>
      </c>
    </row>
    <row r="329" spans="2:11" x14ac:dyDescent="0.2">
      <c r="B329" s="468" t="s">
        <v>270</v>
      </c>
      <c r="C329" s="469"/>
      <c r="D329" s="469"/>
      <c r="E329" s="469"/>
      <c r="F329" s="469"/>
      <c r="G329" s="469"/>
      <c r="H329" s="469"/>
      <c r="I329" s="469"/>
      <c r="J329" s="469"/>
      <c r="K329" s="470"/>
    </row>
    <row r="330" spans="2:11" x14ac:dyDescent="0.2">
      <c r="B330" s="498">
        <v>65</v>
      </c>
      <c r="C330" s="500" t="s">
        <v>254</v>
      </c>
      <c r="D330" s="500"/>
      <c r="E330" s="500"/>
      <c r="F330" s="500"/>
      <c r="G330" s="500"/>
      <c r="H330" s="500"/>
      <c r="I330" s="500"/>
      <c r="J330" s="500"/>
      <c r="K330" s="501"/>
    </row>
    <row r="331" spans="2:11" x14ac:dyDescent="0.2">
      <c r="B331" s="498"/>
      <c r="C331" s="499">
        <v>1</v>
      </c>
      <c r="D331" s="29">
        <v>26501001</v>
      </c>
      <c r="E331" s="179" t="s">
        <v>10</v>
      </c>
      <c r="F331" s="11">
        <f>IF(' جهات'!G346&gt;0,' جهات'!G346,"")</f>
        <v>500000</v>
      </c>
      <c r="G331" s="11">
        <f>IF(' جهات'!H346&gt;0,' جهات'!H346,"")</f>
        <v>500000</v>
      </c>
      <c r="H331" s="11">
        <f>IF(' جهات'!I346&gt;0,' جهات'!I346,"")</f>
        <v>208252.05100000001</v>
      </c>
      <c r="I331" s="11">
        <f>IF(' جهات'!J346&gt;0,' جهات'!J346,"")</f>
        <v>120879.181</v>
      </c>
      <c r="J331" s="137">
        <f>IF(' جهات'!K346&gt;0,' جهات'!K346,"")</f>
        <v>150000</v>
      </c>
      <c r="K331" s="112">
        <f>IFERROR(J331/F331,"")</f>
        <v>0.3</v>
      </c>
    </row>
    <row r="332" spans="2:11" x14ac:dyDescent="0.2">
      <c r="B332" s="498"/>
      <c r="C332" s="499"/>
      <c r="D332" s="29">
        <v>26501002</v>
      </c>
      <c r="E332" s="179" t="s">
        <v>11</v>
      </c>
      <c r="F332" s="11">
        <f>IF(' جهات'!G347&gt;0,' جهات'!G347,"")</f>
        <v>350000</v>
      </c>
      <c r="G332" s="11">
        <f>IF(' جهات'!H347&gt;0,' جهات'!H347,"")</f>
        <v>350000</v>
      </c>
      <c r="H332" s="11">
        <f>IF(' جهات'!I347&gt;0,' جهات'!I347,"")</f>
        <v>207597.429</v>
      </c>
      <c r="I332" s="11">
        <f>IF(' جهات'!J347&gt;0,' جهات'!J347,"")</f>
        <v>6270.2879999999996</v>
      </c>
      <c r="J332" s="137">
        <f>IF(' جهات'!K347&gt;0,' جهات'!K347,"")</f>
        <v>150000</v>
      </c>
      <c r="K332" s="112">
        <f>IFERROR(J332/F332,"")</f>
        <v>0.42857142857142855</v>
      </c>
    </row>
    <row r="333" spans="2:11" x14ac:dyDescent="0.2">
      <c r="B333" s="498"/>
      <c r="C333" s="497" t="s">
        <v>23</v>
      </c>
      <c r="D333" s="497"/>
      <c r="E333" s="497"/>
      <c r="F333" s="149">
        <f t="shared" ref="F333:J333" si="92">SUM(F331:F332)</f>
        <v>850000</v>
      </c>
      <c r="G333" s="149">
        <f t="shared" si="92"/>
        <v>850000</v>
      </c>
      <c r="H333" s="149">
        <f t="shared" si="92"/>
        <v>415849.48</v>
      </c>
      <c r="I333" s="149">
        <f t="shared" si="92"/>
        <v>127149.469</v>
      </c>
      <c r="J333" s="149">
        <f t="shared" si="92"/>
        <v>300000</v>
      </c>
      <c r="K333" s="112">
        <f>IFERROR(J333/F333,"")</f>
        <v>0.35294117647058826</v>
      </c>
    </row>
    <row r="334" spans="2:11" s="46" customFormat="1" x14ac:dyDescent="0.2">
      <c r="B334" s="498"/>
      <c r="C334" s="500" t="s">
        <v>474</v>
      </c>
      <c r="D334" s="500"/>
      <c r="E334" s="500"/>
      <c r="F334" s="500"/>
      <c r="G334" s="500"/>
      <c r="H334" s="500"/>
      <c r="I334" s="500"/>
      <c r="J334" s="500"/>
      <c r="K334" s="501"/>
    </row>
    <row r="335" spans="2:11" s="46" customFormat="1" x14ac:dyDescent="0.2">
      <c r="B335" s="498"/>
      <c r="C335" s="299">
        <v>5</v>
      </c>
      <c r="D335" s="29">
        <v>26505001</v>
      </c>
      <c r="E335" s="179" t="s">
        <v>501</v>
      </c>
      <c r="F335" s="11">
        <f>IF(' جهات'!G348&gt;0,' جهات'!G348,"")</f>
        <v>10000</v>
      </c>
      <c r="G335" s="11">
        <f>IF(' جهات'!H348&gt;0,' جهات'!H348,"")</f>
        <v>10000</v>
      </c>
      <c r="H335" s="11">
        <f>IF(' جهات'!I348&gt;0,' جهات'!I348,"")</f>
        <v>220</v>
      </c>
      <c r="I335" s="11" t="str">
        <f>IF(' جهات'!J348&gt;0,' جهات'!J348,"")</f>
        <v/>
      </c>
      <c r="J335" s="137">
        <f>IF(' جهات'!K348&gt;0,' جهات'!K348,"")</f>
        <v>15000</v>
      </c>
      <c r="K335" s="112">
        <f>IFERROR(J335/F335,"")</f>
        <v>1.5</v>
      </c>
    </row>
    <row r="336" spans="2:11" s="46" customFormat="1" x14ac:dyDescent="0.2">
      <c r="B336" s="498"/>
      <c r="C336" s="497" t="s">
        <v>23</v>
      </c>
      <c r="D336" s="497"/>
      <c r="E336" s="497"/>
      <c r="F336" s="149">
        <f>SUM(F335:F335)</f>
        <v>10000</v>
      </c>
      <c r="G336" s="149">
        <f t="shared" ref="G336:J336" si="93">SUM(G335:G335)</f>
        <v>10000</v>
      </c>
      <c r="H336" s="149">
        <f t="shared" si="93"/>
        <v>220</v>
      </c>
      <c r="I336" s="149">
        <f t="shared" si="93"/>
        <v>0</v>
      </c>
      <c r="J336" s="149">
        <f t="shared" si="93"/>
        <v>15000</v>
      </c>
      <c r="K336" s="112">
        <f>IFERROR(J336/F336,"")</f>
        <v>1.5</v>
      </c>
    </row>
    <row r="337" spans="2:11" x14ac:dyDescent="0.2">
      <c r="B337" s="432" t="s">
        <v>269</v>
      </c>
      <c r="C337" s="433"/>
      <c r="D337" s="433"/>
      <c r="E337" s="433"/>
      <c r="F337" s="150">
        <f>F333+F336</f>
        <v>860000</v>
      </c>
      <c r="G337" s="150">
        <f t="shared" ref="G337:J337" si="94">G333+G336</f>
        <v>860000</v>
      </c>
      <c r="H337" s="150">
        <f t="shared" si="94"/>
        <v>416069.48</v>
      </c>
      <c r="I337" s="150">
        <f t="shared" si="94"/>
        <v>127149.469</v>
      </c>
      <c r="J337" s="150">
        <f t="shared" si="94"/>
        <v>315000</v>
      </c>
      <c r="K337" s="112">
        <f>IFERROR(J337/F337,"")</f>
        <v>0.36627906976744184</v>
      </c>
    </row>
    <row r="338" spans="2:11" x14ac:dyDescent="0.2">
      <c r="B338" s="468" t="s">
        <v>423</v>
      </c>
      <c r="C338" s="469"/>
      <c r="D338" s="469"/>
      <c r="E338" s="469"/>
      <c r="F338" s="469"/>
      <c r="G338" s="469"/>
      <c r="H338" s="469"/>
      <c r="I338" s="469"/>
      <c r="J338" s="469"/>
      <c r="K338" s="470"/>
    </row>
    <row r="339" spans="2:11" x14ac:dyDescent="0.2">
      <c r="B339" s="498">
        <v>66</v>
      </c>
      <c r="C339" s="500" t="s">
        <v>13</v>
      </c>
      <c r="D339" s="500"/>
      <c r="E339" s="500"/>
      <c r="F339" s="500"/>
      <c r="G339" s="500"/>
      <c r="H339" s="500"/>
      <c r="I339" s="500"/>
      <c r="J339" s="500"/>
      <c r="K339" s="501"/>
    </row>
    <row r="340" spans="2:11" ht="14.25" customHeight="1" x14ac:dyDescent="0.2">
      <c r="B340" s="498"/>
      <c r="C340" s="499">
        <v>1</v>
      </c>
      <c r="D340" s="120">
        <v>26601031</v>
      </c>
      <c r="E340" s="180" t="s">
        <v>14</v>
      </c>
      <c r="F340" s="65">
        <f>IF(+' جهات'!G349&gt;0,' جهات'!G349,"")</f>
        <v>10000</v>
      </c>
      <c r="G340" s="65">
        <f>IF(+' جهات'!H349&gt;0,' جهات'!H349,"")</f>
        <v>10000</v>
      </c>
      <c r="H340" s="65" t="str">
        <f>IF(+' جهات'!I349&gt;0,' جهات'!I349,"")</f>
        <v/>
      </c>
      <c r="I340" s="65" t="str">
        <f>IF(+' جهات'!J349&gt;0,' جهات'!J349,"")</f>
        <v/>
      </c>
      <c r="J340" s="137" t="str">
        <f>IF(+' جهات'!K349&gt;0,' جهات'!K349,"")</f>
        <v/>
      </c>
      <c r="K340" s="112" t="str">
        <f>IFERROR(J340/F340,"")</f>
        <v/>
      </c>
    </row>
    <row r="341" spans="2:11" ht="14.25" customHeight="1" x14ac:dyDescent="0.2">
      <c r="B341" s="498"/>
      <c r="C341" s="499"/>
      <c r="D341" s="29">
        <v>26601068</v>
      </c>
      <c r="E341" s="179" t="s">
        <v>15</v>
      </c>
      <c r="F341" s="11">
        <f>IF(' جهات'!G350&gt;0,' جهات'!G350,"")</f>
        <v>50000</v>
      </c>
      <c r="G341" s="11">
        <f>IF(' جهات'!H350&gt;0,' جهات'!H350,"")</f>
        <v>50000</v>
      </c>
      <c r="H341" s="11" t="str">
        <f>IF(' جهات'!I350&gt;0,' جهات'!I350,"")</f>
        <v/>
      </c>
      <c r="I341" s="11" t="str">
        <f>IF(' جهات'!J350&gt;0,' جهات'!J350,"")</f>
        <v/>
      </c>
      <c r="J341" s="137">
        <f>IF(' جهات'!K350&gt;0,' جهات'!K350,"")</f>
        <v>50000</v>
      </c>
      <c r="K341" s="112">
        <f>IFERROR(J341/F341,"")</f>
        <v>1</v>
      </c>
    </row>
    <row r="342" spans="2:11" x14ac:dyDescent="0.2">
      <c r="B342" s="498"/>
      <c r="C342" s="497" t="s">
        <v>23</v>
      </c>
      <c r="D342" s="497"/>
      <c r="E342" s="497"/>
      <c r="F342" s="149">
        <f t="shared" ref="F342:J342" si="95">SUM(F340:F341)</f>
        <v>60000</v>
      </c>
      <c r="G342" s="149">
        <f t="shared" si="95"/>
        <v>60000</v>
      </c>
      <c r="H342" s="149">
        <f t="shared" si="95"/>
        <v>0</v>
      </c>
      <c r="I342" s="149">
        <f t="shared" si="95"/>
        <v>0</v>
      </c>
      <c r="J342" s="149">
        <f t="shared" si="95"/>
        <v>50000</v>
      </c>
      <c r="K342" s="112">
        <f>IFERROR(J342/F342,"")</f>
        <v>0.83333333333333337</v>
      </c>
    </row>
    <row r="343" spans="2:11" x14ac:dyDescent="0.2">
      <c r="B343" s="498"/>
      <c r="C343" s="500" t="s">
        <v>16</v>
      </c>
      <c r="D343" s="500"/>
      <c r="E343" s="500"/>
      <c r="F343" s="500"/>
      <c r="G343" s="500"/>
      <c r="H343" s="500"/>
      <c r="I343" s="500"/>
      <c r="J343" s="500"/>
      <c r="K343" s="501"/>
    </row>
    <row r="344" spans="2:11" ht="15" customHeight="1" x14ac:dyDescent="0.2">
      <c r="B344" s="498"/>
      <c r="C344" s="522">
        <v>2</v>
      </c>
      <c r="D344" s="29">
        <v>26602001</v>
      </c>
      <c r="E344" s="179" t="s">
        <v>12</v>
      </c>
      <c r="F344" s="11">
        <f>IF(' جهات'!G328+' جهات'!G312&gt;0,' جهات'!G328+' جهات'!G312,"")</f>
        <v>150000</v>
      </c>
      <c r="G344" s="11">
        <f>IF(' جهات'!H328+' جهات'!H312&gt;0,' جهات'!H328+' جهات'!H312,"")</f>
        <v>150000</v>
      </c>
      <c r="H344" s="11" t="str">
        <f>IF(' جهات'!I328+' جهات'!I312&gt;0,' جهات'!I328+' جهات'!I312,"")</f>
        <v/>
      </c>
      <c r="I344" s="11" t="str">
        <f>IF(' جهات'!J328+' جهات'!J312&gt;0,' جهات'!J328+' جهات'!J312,"")</f>
        <v/>
      </c>
      <c r="J344" s="137">
        <f>IF(' جهات'!K328+' جهات'!K312&gt;0,' جهات'!K328+' جهات'!K312,"")</f>
        <v>150000</v>
      </c>
      <c r="K344" s="112">
        <f t="shared" ref="K344:K350" si="96">IFERROR(J344/F344,"")</f>
        <v>1</v>
      </c>
    </row>
    <row r="345" spans="2:11" ht="15" customHeight="1" x14ac:dyDescent="0.2">
      <c r="B345" s="498"/>
      <c r="C345" s="522"/>
      <c r="D345" s="29">
        <v>26602004</v>
      </c>
      <c r="E345" s="179" t="s">
        <v>495</v>
      </c>
      <c r="F345" s="11">
        <f>IF(' جهات'!G329+' جهات'!G313&gt;0,' جهات'!G329+' جهات'!G313,"")</f>
        <v>10000</v>
      </c>
      <c r="G345" s="11">
        <f>IF(' جهات'!H329+' جهات'!H313&gt;0,' جهات'!H329+' جهات'!H313,"")</f>
        <v>10000</v>
      </c>
      <c r="H345" s="11">
        <f>IF(' جهات'!I329+' جهات'!I313&gt;0,' جهات'!I329+' جهات'!I313,"")</f>
        <v>3750</v>
      </c>
      <c r="I345" s="11">
        <f>IF(' جهات'!J329+' جهات'!J313&gt;0,' جهات'!J329+' جهات'!J313,"")</f>
        <v>2650</v>
      </c>
      <c r="J345" s="137">
        <f>IF(' جهات'!K329+' جهات'!K313&gt;0,' جهات'!K329+' جهات'!K313,"")</f>
        <v>10000</v>
      </c>
      <c r="K345" s="112">
        <f t="shared" si="96"/>
        <v>1</v>
      </c>
    </row>
    <row r="346" spans="2:11" ht="15" customHeight="1" x14ac:dyDescent="0.2">
      <c r="B346" s="498"/>
      <c r="C346" s="522"/>
      <c r="D346" s="29">
        <v>26602005</v>
      </c>
      <c r="E346" s="179" t="s">
        <v>496</v>
      </c>
      <c r="F346" s="11">
        <f>IF(' جهات'!G330+' جهات'!G314&gt;0,' جهات'!G330+' جهات'!G314,"")</f>
        <v>10000</v>
      </c>
      <c r="G346" s="11">
        <f>IF(' جهات'!H330+' جهات'!H314&gt;0,' جهات'!H330+' جهات'!H314,"")</f>
        <v>10000</v>
      </c>
      <c r="H346" s="11" t="str">
        <f>IF(' جهات'!I330+' جهات'!I314&gt;0,' جهات'!I330+' جهات'!I314,"")</f>
        <v/>
      </c>
      <c r="I346" s="11" t="str">
        <f>IF(' جهات'!J330+' جهات'!J314&gt;0,' جهات'!J330+' جهات'!J314,"")</f>
        <v/>
      </c>
      <c r="J346" s="137">
        <f>IF(' جهات'!K330+' جهات'!K314&gt;0,' جهات'!K330+' جهات'!K314,"")</f>
        <v>10000</v>
      </c>
      <c r="K346" s="112">
        <f t="shared" si="96"/>
        <v>1</v>
      </c>
    </row>
    <row r="347" spans="2:11" ht="15" customHeight="1" x14ac:dyDescent="0.2">
      <c r="B347" s="498"/>
      <c r="C347" s="522"/>
      <c r="D347" s="29">
        <v>26602006</v>
      </c>
      <c r="E347" s="179" t="s">
        <v>497</v>
      </c>
      <c r="F347" s="11">
        <f>IF(' جهات'!G331+' جهات'!G315&gt;0,' جهات'!G331+' جهات'!G315,"")</f>
        <v>20000</v>
      </c>
      <c r="G347" s="11">
        <f>IF(' جهات'!H331+' جهات'!H315&gt;0,' جهات'!H331+' جهات'!H315,"")</f>
        <v>20000</v>
      </c>
      <c r="H347" s="11" t="str">
        <f>IF(' جهات'!I331+' جهات'!I315&gt;0,' جهات'!I331+' جهات'!I315,"")</f>
        <v/>
      </c>
      <c r="I347" s="11">
        <f>IF(' جهات'!J331+' جهات'!J315&gt;0,' جهات'!J331+' جهات'!J315,"")</f>
        <v>500</v>
      </c>
      <c r="J347" s="137">
        <f>IF(' جهات'!K331+' جهات'!K315&gt;0,' جهات'!K331+' جهات'!K315,"")</f>
        <v>20000</v>
      </c>
      <c r="K347" s="112">
        <f t="shared" si="96"/>
        <v>1</v>
      </c>
    </row>
    <row r="348" spans="2:11" ht="15" customHeight="1" x14ac:dyDescent="0.2">
      <c r="B348" s="498"/>
      <c r="C348" s="522"/>
      <c r="D348" s="29">
        <v>26602007</v>
      </c>
      <c r="E348" s="179" t="s">
        <v>498</v>
      </c>
      <c r="F348" s="11">
        <f>IF(' جهات'!G332+' جهات'!G316&gt;0,' جهات'!G332+' جهات'!G316,"")</f>
        <v>3000</v>
      </c>
      <c r="G348" s="11">
        <f>IF(' جهات'!H332+' جهات'!H316&gt;0,' جهات'!H332+' جهات'!H316,"")</f>
        <v>3000</v>
      </c>
      <c r="H348" s="11" t="str">
        <f>IF(' جهات'!I332+' جهات'!I316&gt;0,' جهات'!I332+' جهات'!I316,"")</f>
        <v/>
      </c>
      <c r="I348" s="11" t="str">
        <f>IF(' جهات'!J332+' جهات'!J316&gt;0,' جهات'!J332+' جهات'!J316,"")</f>
        <v/>
      </c>
      <c r="J348" s="137">
        <f>IF(' جهات'!K332+' جهات'!K316&gt;0,' جهات'!K332+' جهات'!K316,"")</f>
        <v>5000</v>
      </c>
      <c r="K348" s="112">
        <f t="shared" si="96"/>
        <v>1.6666666666666667</v>
      </c>
    </row>
    <row r="349" spans="2:11" s="46" customFormat="1" ht="15" customHeight="1" x14ac:dyDescent="0.2">
      <c r="B349" s="498"/>
      <c r="C349" s="522"/>
      <c r="D349" s="121"/>
      <c r="E349" s="58" t="s">
        <v>520</v>
      </c>
      <c r="F349" s="65" t="str">
        <f>IF(' جهات'!G317&gt;0,' جهات'!G317,"")</f>
        <v/>
      </c>
      <c r="G349" s="65" t="str">
        <f>IF(' جهات'!H317&gt;0,' جهات'!H317,"")</f>
        <v/>
      </c>
      <c r="H349" s="65" t="str">
        <f>IF(' جهات'!I317&gt;0,' جهات'!I317,"")</f>
        <v/>
      </c>
      <c r="I349" s="65" t="str">
        <f>IF(' جهات'!J317&gt;0,' جهات'!J317,"")</f>
        <v/>
      </c>
      <c r="J349" s="137">
        <f>IF(' جهات'!K317&gt;0,' جهات'!K317,"")</f>
        <v>30000</v>
      </c>
      <c r="K349" s="112" t="str">
        <f t="shared" si="96"/>
        <v/>
      </c>
    </row>
    <row r="350" spans="2:11" x14ac:dyDescent="0.2">
      <c r="B350" s="498"/>
      <c r="C350" s="497" t="s">
        <v>23</v>
      </c>
      <c r="D350" s="497"/>
      <c r="E350" s="497"/>
      <c r="F350" s="149">
        <f t="shared" ref="F350:I350" si="97">SUM(F344:F349)</f>
        <v>193000</v>
      </c>
      <c r="G350" s="149">
        <f t="shared" si="97"/>
        <v>193000</v>
      </c>
      <c r="H350" s="149">
        <f t="shared" si="97"/>
        <v>3750</v>
      </c>
      <c r="I350" s="149">
        <f t="shared" si="97"/>
        <v>3150</v>
      </c>
      <c r="J350" s="149">
        <f>SUM(J344:J349)</f>
        <v>225000</v>
      </c>
      <c r="K350" s="112">
        <f t="shared" si="96"/>
        <v>1.1658031088082901</v>
      </c>
    </row>
    <row r="351" spans="2:11" x14ac:dyDescent="0.2">
      <c r="B351" s="498"/>
      <c r="C351" s="500" t="s">
        <v>325</v>
      </c>
      <c r="D351" s="500"/>
      <c r="E351" s="500"/>
      <c r="F351" s="500"/>
      <c r="G351" s="500"/>
      <c r="H351" s="500"/>
      <c r="I351" s="500"/>
      <c r="J351" s="500"/>
      <c r="K351" s="501"/>
    </row>
    <row r="352" spans="2:11" x14ac:dyDescent="0.2">
      <c r="B352" s="498"/>
      <c r="C352" s="299"/>
      <c r="D352" s="29">
        <v>26603002</v>
      </c>
      <c r="E352" s="179" t="s">
        <v>502</v>
      </c>
      <c r="F352" s="11">
        <f>IF(' جهات'!G351&gt;0,' جهات'!G351,"")</f>
        <v>50000</v>
      </c>
      <c r="G352" s="11">
        <f>IF(' جهات'!H351&gt;0,' جهات'!H351,"")</f>
        <v>50000</v>
      </c>
      <c r="H352" s="11">
        <f>IF(' جهات'!I351&gt;0,' جهات'!I351,"")</f>
        <v>3112.5</v>
      </c>
      <c r="I352" s="11">
        <f>IF(' جهات'!J351&gt;0,' جهات'!J351,"")</f>
        <v>487.5</v>
      </c>
      <c r="J352" s="137">
        <f>IF(' جهات'!K351&gt;0,' جهات'!K351,"")</f>
        <v>40000</v>
      </c>
      <c r="K352" s="112">
        <f>IFERROR(J352/F352,"")</f>
        <v>0.8</v>
      </c>
    </row>
    <row r="353" spans="2:22" x14ac:dyDescent="0.2">
      <c r="B353" s="498"/>
      <c r="C353" s="497" t="s">
        <v>23</v>
      </c>
      <c r="D353" s="497"/>
      <c r="E353" s="497"/>
      <c r="F353" s="149">
        <f t="shared" ref="F353:J353" si="98">SUM(F352:F352)</f>
        <v>50000</v>
      </c>
      <c r="G353" s="149">
        <f t="shared" si="98"/>
        <v>50000</v>
      </c>
      <c r="H353" s="149">
        <f t="shared" si="98"/>
        <v>3112.5</v>
      </c>
      <c r="I353" s="149">
        <f t="shared" si="98"/>
        <v>487.5</v>
      </c>
      <c r="J353" s="149">
        <f t="shared" si="98"/>
        <v>40000</v>
      </c>
      <c r="K353" s="112">
        <f>IFERROR(J353/F353,"")</f>
        <v>0.8</v>
      </c>
    </row>
    <row r="354" spans="2:22" x14ac:dyDescent="0.2">
      <c r="B354" s="432" t="s">
        <v>422</v>
      </c>
      <c r="C354" s="433"/>
      <c r="D354" s="433"/>
      <c r="E354" s="433"/>
      <c r="F354" s="150">
        <f>F342+F350+F353</f>
        <v>303000</v>
      </c>
      <c r="G354" s="150">
        <f t="shared" ref="G354:J354" si="99">G342+G350+G353</f>
        <v>303000</v>
      </c>
      <c r="H354" s="150">
        <f t="shared" si="99"/>
        <v>6862.5</v>
      </c>
      <c r="I354" s="150">
        <f t="shared" si="99"/>
        <v>3637.5</v>
      </c>
      <c r="J354" s="150">
        <f t="shared" si="99"/>
        <v>315000</v>
      </c>
      <c r="K354" s="112">
        <f>IFERROR(J354/F354,"")</f>
        <v>1.0396039603960396</v>
      </c>
    </row>
    <row r="355" spans="2:22" x14ac:dyDescent="0.2">
      <c r="B355" s="468" t="s">
        <v>272</v>
      </c>
      <c r="C355" s="469"/>
      <c r="D355" s="469"/>
      <c r="E355" s="469"/>
      <c r="F355" s="469"/>
      <c r="G355" s="469"/>
      <c r="H355" s="469"/>
      <c r="I355" s="469"/>
      <c r="J355" s="469"/>
      <c r="K355" s="470"/>
    </row>
    <row r="356" spans="2:22" x14ac:dyDescent="0.2">
      <c r="B356" s="498">
        <v>70</v>
      </c>
      <c r="C356" s="497" t="s">
        <v>273</v>
      </c>
      <c r="D356" s="497"/>
      <c r="E356" s="497"/>
      <c r="F356" s="497"/>
      <c r="G356" s="497"/>
      <c r="H356" s="497"/>
      <c r="I356" s="497"/>
      <c r="J356" s="497"/>
      <c r="K356" s="537"/>
    </row>
    <row r="357" spans="2:22" ht="14.25" customHeight="1" x14ac:dyDescent="0.2">
      <c r="B357" s="498"/>
      <c r="C357" s="299">
        <v>1</v>
      </c>
      <c r="D357" s="28">
        <v>27001001</v>
      </c>
      <c r="E357" s="51" t="s">
        <v>445</v>
      </c>
      <c r="F357" s="11">
        <f>IF(' جهات'!G472&gt;0,' جهات'!G472,"")</f>
        <v>1450000</v>
      </c>
      <c r="G357" s="11">
        <f>IF(' جهات'!H472&gt;0,' جهات'!H472,"")</f>
        <v>1450000</v>
      </c>
      <c r="H357" s="11">
        <f>IF(' جهات'!I472&gt;0,' جهات'!I472,"")</f>
        <v>430561.71399999998</v>
      </c>
      <c r="I357" s="11">
        <f>IF(' جهات'!J472&gt;0,' جهات'!J472,"")</f>
        <v>578981.00300000003</v>
      </c>
      <c r="J357" s="137">
        <f>IF(' جهات'!K472&gt;0,' جهات'!K472,"")</f>
        <v>884000</v>
      </c>
      <c r="K357" s="112">
        <f>IFERROR(J357/F357,"")</f>
        <v>0.60965517241379308</v>
      </c>
    </row>
    <row r="358" spans="2:22" x14ac:dyDescent="0.2">
      <c r="B358" s="498"/>
      <c r="C358" s="497" t="s">
        <v>23</v>
      </c>
      <c r="D358" s="497"/>
      <c r="E358" s="497"/>
      <c r="F358" s="149">
        <f>SUM(F357)</f>
        <v>1450000</v>
      </c>
      <c r="G358" s="149">
        <f t="shared" ref="G358:J358" si="100">SUM(G357)</f>
        <v>1450000</v>
      </c>
      <c r="H358" s="149">
        <f t="shared" si="100"/>
        <v>430561.71399999998</v>
      </c>
      <c r="I358" s="149">
        <f t="shared" si="100"/>
        <v>578981.00300000003</v>
      </c>
      <c r="J358" s="149">
        <f t="shared" si="100"/>
        <v>884000</v>
      </c>
      <c r="K358" s="112">
        <f>IFERROR(J358/F358,"")</f>
        <v>0.60965517241379308</v>
      </c>
    </row>
    <row r="359" spans="2:22" x14ac:dyDescent="0.2">
      <c r="B359" s="432" t="s">
        <v>271</v>
      </c>
      <c r="C359" s="433"/>
      <c r="D359" s="433"/>
      <c r="E359" s="433"/>
      <c r="F359" s="150">
        <f>F358</f>
        <v>1450000</v>
      </c>
      <c r="G359" s="150">
        <f t="shared" ref="G359:J359" si="101">G358</f>
        <v>1450000</v>
      </c>
      <c r="H359" s="150">
        <f t="shared" si="101"/>
        <v>430561.71399999998</v>
      </c>
      <c r="I359" s="150">
        <f t="shared" si="101"/>
        <v>578981.00300000003</v>
      </c>
      <c r="J359" s="150">
        <f t="shared" si="101"/>
        <v>884000</v>
      </c>
      <c r="K359" s="112">
        <f>IFERROR(J359/F359,"")</f>
        <v>0.60965517241379308</v>
      </c>
    </row>
    <row r="360" spans="2:22" x14ac:dyDescent="0.2">
      <c r="B360" s="482" t="s">
        <v>149</v>
      </c>
      <c r="C360" s="483"/>
      <c r="D360" s="483"/>
      <c r="E360" s="483"/>
      <c r="F360" s="140">
        <f t="shared" ref="F360:J360" si="102">F289+F310+F328+F337+F354+F359</f>
        <v>3838000</v>
      </c>
      <c r="G360" s="140">
        <f t="shared" si="102"/>
        <v>3838000</v>
      </c>
      <c r="H360" s="140">
        <f t="shared" si="102"/>
        <v>866403.81400000001</v>
      </c>
      <c r="I360" s="140">
        <f t="shared" si="102"/>
        <v>786795.99</v>
      </c>
      <c r="J360" s="140">
        <f t="shared" si="102"/>
        <v>2193500</v>
      </c>
      <c r="K360" s="112">
        <f>IFERROR(J360/F360,"")</f>
        <v>0.57152162584679522</v>
      </c>
    </row>
    <row r="361" spans="2:22" x14ac:dyDescent="0.2">
      <c r="B361" s="490" t="s">
        <v>607</v>
      </c>
      <c r="C361" s="491"/>
      <c r="D361" s="491"/>
      <c r="E361" s="491"/>
      <c r="F361" s="192">
        <f>F205+F266+F276+F360</f>
        <v>36380000</v>
      </c>
      <c r="G361" s="192">
        <f t="shared" ref="G361:J361" si="103">G205+G266+G276+G360</f>
        <v>37162000</v>
      </c>
      <c r="H361" s="192">
        <f t="shared" si="103"/>
        <v>30655530.927999999</v>
      </c>
      <c r="I361" s="192">
        <f t="shared" si="103"/>
        <v>2310354.9509999999</v>
      </c>
      <c r="J361" s="192">
        <f t="shared" si="103"/>
        <v>35724000</v>
      </c>
      <c r="K361" s="206">
        <f>IFERROR(J361/F361,"")</f>
        <v>0.98196811434854314</v>
      </c>
      <c r="M361" s="26"/>
      <c r="N361" s="26"/>
      <c r="O361" s="26"/>
      <c r="P361" s="26"/>
      <c r="Q361" s="26"/>
      <c r="R361" s="26"/>
      <c r="S361" s="26"/>
      <c r="T361" s="26"/>
      <c r="U361" s="26"/>
      <c r="V361" s="26"/>
    </row>
    <row r="362" spans="2:22" s="46" customFormat="1" x14ac:dyDescent="0.2">
      <c r="B362" s="413"/>
      <c r="C362" s="414"/>
      <c r="D362" s="414"/>
      <c r="E362" s="414"/>
      <c r="F362" s="414"/>
      <c r="G362" s="414"/>
      <c r="H362" s="414"/>
      <c r="I362" s="414"/>
      <c r="J362" s="414"/>
      <c r="K362" s="415"/>
    </row>
    <row r="363" spans="2:22" s="46" customFormat="1" x14ac:dyDescent="0.2">
      <c r="B363" s="430" t="s">
        <v>599</v>
      </c>
      <c r="C363" s="431"/>
      <c r="D363" s="431"/>
      <c r="E363" s="431"/>
      <c r="F363" s="419">
        <v>2019</v>
      </c>
      <c r="G363" s="419"/>
      <c r="H363" s="419"/>
      <c r="I363" s="419"/>
      <c r="J363" s="420">
        <v>2020</v>
      </c>
      <c r="K363" s="421"/>
    </row>
    <row r="364" spans="2:22" x14ac:dyDescent="0.2">
      <c r="B364" s="407" t="s">
        <v>625</v>
      </c>
      <c r="C364" s="408"/>
      <c r="D364" s="408"/>
      <c r="E364" s="408"/>
      <c r="F364" s="408"/>
      <c r="G364" s="408"/>
      <c r="H364" s="408"/>
      <c r="I364" s="408"/>
      <c r="J364" s="408"/>
      <c r="K364" s="409"/>
    </row>
    <row r="365" spans="2:22" x14ac:dyDescent="0.2">
      <c r="B365" s="472" t="s">
        <v>673</v>
      </c>
      <c r="C365" s="473"/>
      <c r="D365" s="473"/>
      <c r="E365" s="473"/>
      <c r="F365" s="473"/>
      <c r="G365" s="473"/>
      <c r="H365" s="473"/>
      <c r="I365" s="473"/>
      <c r="J365" s="473"/>
      <c r="K365" s="474"/>
    </row>
    <row r="366" spans="2:22" s="46" customFormat="1" x14ac:dyDescent="0.2">
      <c r="B366" s="532"/>
      <c r="C366" s="529" t="s">
        <v>673</v>
      </c>
      <c r="D366" s="530"/>
      <c r="E366" s="530"/>
      <c r="F366" s="530"/>
      <c r="G366" s="530"/>
      <c r="H366" s="530"/>
      <c r="I366" s="530"/>
      <c r="J366" s="530"/>
      <c r="K366" s="531"/>
    </row>
    <row r="367" spans="2:22" s="46" customFormat="1" x14ac:dyDescent="0.2">
      <c r="B367" s="533"/>
      <c r="C367" s="534"/>
      <c r="D367" s="353"/>
      <c r="E367" s="6" t="str">
        <f>' جهات'!F478</f>
        <v>تسديد قرض صندوق الادخار/جامعة آل البيت (المستحق)</v>
      </c>
      <c r="F367" s="65">
        <f>IF(' جهات'!G478&gt;0,' جهات'!G478,"")</f>
        <v>2000000</v>
      </c>
      <c r="G367" s="65">
        <f>IF(' جهات'!H478&gt;0,' جهات'!H478,"")</f>
        <v>795000</v>
      </c>
      <c r="H367" s="65">
        <f>IF(' جهات'!I478&gt;0,' جهات'!I478,"")</f>
        <v>50000</v>
      </c>
      <c r="I367" s="65" t="str">
        <f>IF(' جهات'!J478&gt;0,' جهات'!J478,"")</f>
        <v/>
      </c>
      <c r="J367" s="137">
        <f>IF(' جهات'!K478&gt;0,' جهات'!K478,"")</f>
        <v>1900000</v>
      </c>
      <c r="K367" s="206">
        <f>IFERROR(J367/F367,"")</f>
        <v>0.95</v>
      </c>
    </row>
    <row r="368" spans="2:22" s="46" customFormat="1" x14ac:dyDescent="0.2">
      <c r="B368" s="533"/>
      <c r="C368" s="535"/>
      <c r="D368" s="353"/>
      <c r="E368" s="183" t="str">
        <f>' جهات'!F479</f>
        <v>تسديد قرض بنك القاهرة عمان/ سلفة البنك المركزي للجامعات الحكومية 2 مليون دينار</v>
      </c>
      <c r="F368" s="65" t="str">
        <f>IF(' جهات'!G479&gt;0,' جهات'!G479,"")</f>
        <v/>
      </c>
      <c r="G368" s="65" t="str">
        <f>IF(' جهات'!H479&gt;0,' جهات'!H479,"")</f>
        <v/>
      </c>
      <c r="H368" s="65" t="str">
        <f>IF(' جهات'!I479&gt;0,' جهات'!I479,"")</f>
        <v/>
      </c>
      <c r="I368" s="65" t="str">
        <f>IF(' جهات'!J479&gt;0,' جهات'!J479,"")</f>
        <v/>
      </c>
      <c r="J368" s="137" t="str">
        <f>IF(' جهات'!K479&gt;0,' جهات'!K479,"")</f>
        <v/>
      </c>
      <c r="K368" s="206" t="str">
        <f t="shared" ref="K368:K371" si="104">IFERROR(J368/F368,"")</f>
        <v/>
      </c>
    </row>
    <row r="369" spans="2:15" s="46" customFormat="1" x14ac:dyDescent="0.2">
      <c r="B369" s="533"/>
      <c r="C369" s="535"/>
      <c r="D369" s="353"/>
      <c r="E369" s="183" t="str">
        <f>' جهات'!F480</f>
        <v>تسديد سلفة وزارة المالية</v>
      </c>
      <c r="F369" s="65" t="str">
        <f>IF(' جهات'!G480&gt;0,' جهات'!G480,"")</f>
        <v/>
      </c>
      <c r="G369" s="65" t="str">
        <f>IF(' جهات'!H480&gt;0,' جهات'!H480,"")</f>
        <v/>
      </c>
      <c r="H369" s="65" t="str">
        <f>IF(' جهات'!I480&gt;0,' جهات'!I480,"")</f>
        <v/>
      </c>
      <c r="I369" s="65" t="str">
        <f>IF(' جهات'!J480&gt;0,' جهات'!J480,"")</f>
        <v/>
      </c>
      <c r="J369" s="137">
        <f>IF(' جهات'!K480&gt;0,' جهات'!K480,"")</f>
        <v>500000</v>
      </c>
      <c r="K369" s="206" t="str">
        <f t="shared" si="104"/>
        <v/>
      </c>
    </row>
    <row r="370" spans="2:15" s="46" customFormat="1" x14ac:dyDescent="0.2">
      <c r="B370" s="533"/>
      <c r="C370" s="535"/>
      <c r="D370" s="353"/>
      <c r="E370" s="183" t="str">
        <f>' جهات'!F481</f>
        <v>تسديد عجز موازنة السنة المالية  الحالية</v>
      </c>
      <c r="F370" s="65" t="str">
        <f>IF(' جهات'!G481&gt;0,' جهات'!G481,"")</f>
        <v/>
      </c>
      <c r="G370" s="65" t="str">
        <f>IF(' جهات'!H481&gt;0,' جهات'!H481,"")</f>
        <v/>
      </c>
      <c r="H370" s="65" t="str">
        <f>IF(' جهات'!I481&gt;0,' جهات'!I481,"")</f>
        <v/>
      </c>
      <c r="I370" s="65" t="str">
        <f>IF(' جهات'!J481&gt;0,' جهات'!J481,"")</f>
        <v/>
      </c>
      <c r="J370" s="137">
        <f>IF(' جهات'!K481&gt;0,' جهات'!K481,"")</f>
        <v>5314000</v>
      </c>
      <c r="K370" s="206" t="str">
        <f t="shared" si="104"/>
        <v/>
      </c>
      <c r="N370"/>
      <c r="O370" s="70"/>
    </row>
    <row r="371" spans="2:15" s="46" customFormat="1" ht="15" thickBot="1" x14ac:dyDescent="0.25">
      <c r="B371" s="533"/>
      <c r="C371" s="536"/>
      <c r="D371" s="29"/>
      <c r="E371" s="6" t="str">
        <f>' جهات'!F482</f>
        <v>تسديد ذمة عجز موازنة التمويل المتراكم</v>
      </c>
      <c r="F371" s="65">
        <f>IF(' جهات'!G482&gt;0,' جهات'!G482,"")</f>
        <v>14000000</v>
      </c>
      <c r="G371" s="65">
        <f>IF(' جهات'!H482&gt;0,' جهات'!H482,"")</f>
        <v>14000000</v>
      </c>
      <c r="H371" s="65">
        <f>IF(' جهات'!I482&gt;0,' جهات'!I482,"")</f>
        <v>13740592.323000001</v>
      </c>
      <c r="I371" s="65" t="str">
        <f>IF(' جهات'!J482&gt;0,' جهات'!J482,"")</f>
        <v/>
      </c>
      <c r="J371" s="137">
        <f>IF(' جهات'!K482&gt;0,' جهات'!K482,"")</f>
        <v>15376000</v>
      </c>
      <c r="K371" s="206">
        <f t="shared" si="104"/>
        <v>1.0982857142857143</v>
      </c>
      <c r="L371" s="26"/>
      <c r="O371" s="245"/>
    </row>
    <row r="372" spans="2:15" s="46" customFormat="1" ht="14.25" customHeight="1" thickBot="1" x14ac:dyDescent="0.25">
      <c r="B372" s="432" t="s">
        <v>686</v>
      </c>
      <c r="C372" s="433"/>
      <c r="D372" s="433"/>
      <c r="E372" s="433"/>
      <c r="F372" s="150">
        <f>SUM(F367:F371)</f>
        <v>16000000</v>
      </c>
      <c r="G372" s="150">
        <f t="shared" ref="G372:I372" si="105">SUM(G367:G371)</f>
        <v>14795000</v>
      </c>
      <c r="H372" s="150">
        <f t="shared" si="105"/>
        <v>13790592.323000001</v>
      </c>
      <c r="I372" s="150">
        <f t="shared" si="105"/>
        <v>0</v>
      </c>
      <c r="J372" s="150">
        <f>SUM(J367:J371)</f>
        <v>23090000</v>
      </c>
      <c r="K372" s="206">
        <f t="shared" ref="K372:K373" si="106">IFERROR(J372/F372,"")</f>
        <v>1.443125</v>
      </c>
      <c r="L372" s="26"/>
      <c r="M372" s="67" t="s">
        <v>526</v>
      </c>
      <c r="O372" s="70"/>
    </row>
    <row r="373" spans="2:15" s="46" customFormat="1" ht="15" thickBot="1" x14ac:dyDescent="0.25">
      <c r="B373" s="477" t="s">
        <v>608</v>
      </c>
      <c r="C373" s="478"/>
      <c r="D373" s="478"/>
      <c r="E373" s="478"/>
      <c r="F373" s="153">
        <f>SUM(F372)</f>
        <v>16000000</v>
      </c>
      <c r="G373" s="153">
        <f t="shared" ref="G373:J373" si="107">SUM(G372)</f>
        <v>14795000</v>
      </c>
      <c r="H373" s="153">
        <f t="shared" si="107"/>
        <v>13790592.323000001</v>
      </c>
      <c r="I373" s="153">
        <f t="shared" si="107"/>
        <v>0</v>
      </c>
      <c r="J373" s="153">
        <f t="shared" si="107"/>
        <v>23090000</v>
      </c>
      <c r="K373" s="206">
        <f t="shared" si="106"/>
        <v>1.443125</v>
      </c>
      <c r="M373" s="366">
        <f>IF(' جهات'!N483&gt;0,' جهات'!N483,"")</f>
        <v>15375481.875</v>
      </c>
      <c r="O373" s="245"/>
    </row>
    <row r="374" spans="2:15" s="1" customFormat="1" x14ac:dyDescent="0.2">
      <c r="B374" s="430"/>
      <c r="C374" s="431"/>
      <c r="D374" s="431"/>
      <c r="E374" s="431"/>
      <c r="F374" s="431"/>
      <c r="G374" s="431"/>
      <c r="H374" s="431"/>
      <c r="I374" s="431"/>
      <c r="J374" s="431"/>
      <c r="K374" s="489"/>
      <c r="O374" s="15"/>
    </row>
    <row r="375" spans="2:15" x14ac:dyDescent="0.2">
      <c r="B375" s="430" t="s">
        <v>611</v>
      </c>
      <c r="C375" s="431"/>
      <c r="D375" s="431"/>
      <c r="E375" s="431"/>
      <c r="F375" s="419">
        <v>2019</v>
      </c>
      <c r="G375" s="419"/>
      <c r="H375" s="419"/>
      <c r="I375" s="419"/>
      <c r="J375" s="420">
        <v>2020</v>
      </c>
      <c r="K375" s="421"/>
      <c r="O375" s="70"/>
    </row>
    <row r="376" spans="2:15" s="46" customFormat="1" x14ac:dyDescent="0.2">
      <c r="B376" s="407" t="s">
        <v>654</v>
      </c>
      <c r="C376" s="408"/>
      <c r="D376" s="408"/>
      <c r="E376" s="408"/>
      <c r="F376" s="408"/>
      <c r="G376" s="408"/>
      <c r="H376" s="408"/>
      <c r="I376" s="408"/>
      <c r="J376" s="408"/>
      <c r="K376" s="409"/>
      <c r="O376" s="245"/>
    </row>
    <row r="377" spans="2:15" x14ac:dyDescent="0.2">
      <c r="B377" s="472" t="s">
        <v>629</v>
      </c>
      <c r="C377" s="473"/>
      <c r="D377" s="473"/>
      <c r="E377" s="473"/>
      <c r="F377" s="473"/>
      <c r="G377" s="473"/>
      <c r="H377" s="473"/>
      <c r="I377" s="473"/>
      <c r="J377" s="473"/>
      <c r="K377" s="474"/>
      <c r="O377" s="70"/>
    </row>
    <row r="378" spans="2:15" x14ac:dyDescent="0.2">
      <c r="B378" s="511">
        <v>93</v>
      </c>
      <c r="C378" s="500" t="s">
        <v>148</v>
      </c>
      <c r="D378" s="500"/>
      <c r="E378" s="500"/>
      <c r="F378" s="500"/>
      <c r="G378" s="500"/>
      <c r="H378" s="500"/>
      <c r="I378" s="500"/>
      <c r="J378" s="500"/>
      <c r="K378" s="501"/>
      <c r="O378" s="70"/>
    </row>
    <row r="379" spans="2:15" x14ac:dyDescent="0.2">
      <c r="B379" s="511"/>
      <c r="C379" s="499">
        <v>1</v>
      </c>
      <c r="D379" s="54">
        <f>IF(' جهات'!E486&gt;0,' جهات'!E486,"")</f>
        <v>29301002</v>
      </c>
      <c r="E379" s="181" t="str">
        <f>IF(' جهات'!F486&gt;0,' جهات'!F486,"")</f>
        <v>مشروع بناء كلية الهندسة/ مشروطة بالتمويل</v>
      </c>
      <c r="F379" s="65">
        <f>IF(' جهات'!G486&gt;0,' جهات'!G486,"")</f>
        <v>1000000</v>
      </c>
      <c r="G379" s="65">
        <f>IF(' جهات'!H486&gt;0,' جهات'!H486,"")</f>
        <v>1000000</v>
      </c>
      <c r="H379" s="65">
        <f>IF(' جهات'!I486&gt;0,' جهات'!I486,"")</f>
        <v>738348.18299999996</v>
      </c>
      <c r="I379" s="65">
        <f>IF(' جهات'!J486&gt;0,' جهات'!J486,"")</f>
        <v>261651.81700000001</v>
      </c>
      <c r="J379" s="137">
        <f>IF(' جهات'!K486&gt;0,' جهات'!K486,"")</f>
        <v>500000</v>
      </c>
      <c r="K379" s="112">
        <f t="shared" ref="K379:K389" si="108">IFERROR(J379/F379,"")</f>
        <v>0.5</v>
      </c>
      <c r="O379" s="70"/>
    </row>
    <row r="380" spans="2:15" x14ac:dyDescent="0.2">
      <c r="B380" s="511"/>
      <c r="C380" s="499"/>
      <c r="D380" s="126">
        <f>IF(' جهات'!E487&gt;0,' جهات'!E487,"")</f>
        <v>29301005</v>
      </c>
      <c r="E380" s="182" t="str">
        <f>IF(' جهات'!F487&gt;0,' جهات'!F487,"")</f>
        <v>مشروع بناء ملحق كلية التمريض/ المرحلة الأولى</v>
      </c>
      <c r="F380" s="65">
        <f>IF(' جهات'!G487&gt;0,' جهات'!G487,"")</f>
        <v>100000</v>
      </c>
      <c r="G380" s="65">
        <f>IF(' جهات'!H487&gt;0,' جهات'!H487,"")</f>
        <v>150000</v>
      </c>
      <c r="H380" s="65">
        <f>IF(' جهات'!I487&gt;0,' جهات'!I487,"")</f>
        <v>130826.83500000001</v>
      </c>
      <c r="I380" s="65" t="str">
        <f>IF(' جهات'!J487&gt;0,' جهات'!J487,"")</f>
        <v/>
      </c>
      <c r="J380" s="137" t="str">
        <f>IF(' جهات'!K487&gt;0,' جهات'!K487,"")</f>
        <v/>
      </c>
      <c r="K380" s="112" t="str">
        <f t="shared" si="108"/>
        <v/>
      </c>
    </row>
    <row r="381" spans="2:15" s="46" customFormat="1" x14ac:dyDescent="0.2">
      <c r="B381" s="511"/>
      <c r="C381" s="499"/>
      <c r="D381" s="125" t="str">
        <f>IF(' جهات'!E488&gt;0,' جهات'!E488,"")</f>
        <v/>
      </c>
      <c r="E381" s="183" t="str">
        <f>IF(' جهات'!F488&gt;0,' جهات'!F488,"")</f>
        <v>مشروع بناء ملحق كلية التمريض/ المرحلة الثانية/ مشروطة بالتمويل</v>
      </c>
      <c r="F381" s="65" t="str">
        <f>IF(' جهات'!G488&gt;0,' جهات'!G488,"")</f>
        <v/>
      </c>
      <c r="G381" s="65" t="str">
        <f>IF(' جهات'!H488&gt;0,' جهات'!H488,"")</f>
        <v/>
      </c>
      <c r="H381" s="65" t="str">
        <f>IF(' جهات'!I488&gt;0,' جهات'!I488,"")</f>
        <v/>
      </c>
      <c r="I381" s="65" t="str">
        <f>IF(' جهات'!J488&gt;0,' جهات'!J488,"")</f>
        <v/>
      </c>
      <c r="J381" s="137">
        <f>IF(' جهات'!K488&gt;0,' جهات'!K488,"")</f>
        <v>1500000</v>
      </c>
      <c r="K381" s="112" t="str">
        <f t="shared" si="108"/>
        <v/>
      </c>
    </row>
    <row r="382" spans="2:15" x14ac:dyDescent="0.2">
      <c r="B382" s="511"/>
      <c r="C382" s="499"/>
      <c r="D382" s="54">
        <f>IF(' جهات'!E489&gt;0,' جهات'!E489,"")</f>
        <v>29301019</v>
      </c>
      <c r="E382" s="181" t="str">
        <f>IF(' جهات'!F489&gt;0,' جهات'!F489,"")</f>
        <v>مشروع بناء كلية ادارة المال والاعمال/ مشروطة بالتمويل</v>
      </c>
      <c r="F382" s="65">
        <f>IF(' جهات'!G489&gt;0,' جهات'!G489,"")</f>
        <v>1000000</v>
      </c>
      <c r="G382" s="65">
        <f>IF(' جهات'!H489&gt;0,' جهات'!H489,"")</f>
        <v>1000000</v>
      </c>
      <c r="H382" s="65">
        <f>IF(' جهات'!I489&gt;0,' جهات'!I489,"")</f>
        <v>736027.24600000004</v>
      </c>
      <c r="I382" s="65">
        <f>IF(' جهات'!J489&gt;0,' جهات'!J489,"")</f>
        <v>173983.74900000001</v>
      </c>
      <c r="J382" s="137">
        <f>IF(' جهات'!K489&gt;0,' جهات'!K489,"")</f>
        <v>400000</v>
      </c>
      <c r="K382" s="112">
        <f t="shared" si="108"/>
        <v>0.4</v>
      </c>
    </row>
    <row r="383" spans="2:15" x14ac:dyDescent="0.2">
      <c r="B383" s="511"/>
      <c r="C383" s="499"/>
      <c r="D383" s="54">
        <f>IF(' جهات'!E490&gt;0,' جهات'!E490,"")</f>
        <v>29301021</v>
      </c>
      <c r="E383" s="181" t="str">
        <f>IF(' جهات'!F490&gt;0,' جهات'!F490,"")</f>
        <v>مشروع انشاء كلية طب/ مشروطة بالتمويل</v>
      </c>
      <c r="F383" s="65">
        <f>IF(' جهات'!G490&gt;0,' جهات'!G490,"")</f>
        <v>1000000</v>
      </c>
      <c r="G383" s="65">
        <f>IF(' جهات'!H490&gt;0,' جهات'!H490,"")</f>
        <v>950000</v>
      </c>
      <c r="H383" s="65" t="str">
        <f>IF(' جهات'!I490&gt;0,' جهات'!I490,"")</f>
        <v/>
      </c>
      <c r="I383" s="65" t="str">
        <f>IF(' جهات'!J490&gt;0,' جهات'!J490,"")</f>
        <v/>
      </c>
      <c r="J383" s="137">
        <f>IF(' جهات'!K490&gt;0,' جهات'!K490,"")</f>
        <v>1000000</v>
      </c>
      <c r="K383" s="112">
        <f t="shared" si="108"/>
        <v>1</v>
      </c>
    </row>
    <row r="384" spans="2:15" s="46" customFormat="1" x14ac:dyDescent="0.2">
      <c r="B384" s="511"/>
      <c r="C384" s="499"/>
      <c r="D384" s="54">
        <f>IF(' جهات'!E491&gt;0,' جهات'!E491,"")</f>
        <v>29301023</v>
      </c>
      <c r="E384" s="181" t="str">
        <f>IF(' جهات'!F491&gt;0,' جهات'!F491,"")</f>
        <v>مبنى مركز الحاسوب/ مشروطة بالتمويل</v>
      </c>
      <c r="F384" s="65">
        <f>IF(' جهات'!G491&gt;0,' جهات'!G491,"")</f>
        <v>200000</v>
      </c>
      <c r="G384" s="65">
        <f>IF(' جهات'!H491&gt;0,' جهات'!H491,"")</f>
        <v>200000</v>
      </c>
      <c r="H384" s="65" t="str">
        <f>IF(' جهات'!I491&gt;0,' جهات'!I491,"")</f>
        <v/>
      </c>
      <c r="I384" s="65" t="str">
        <f>IF(' جهات'!J491&gt;0,' جهات'!J491,"")</f>
        <v/>
      </c>
      <c r="J384" s="137">
        <f>IF(' جهات'!K491&gt;0,' جهات'!K491,"")</f>
        <v>75000</v>
      </c>
      <c r="K384" s="112">
        <f t="shared" si="108"/>
        <v>0.375</v>
      </c>
    </row>
    <row r="385" spans="2:11" s="46" customFormat="1" x14ac:dyDescent="0.2">
      <c r="B385" s="511"/>
      <c r="C385" s="499"/>
      <c r="D385" s="126">
        <f>IF(' جهات'!E492&gt;0,' جهات'!E492,"")</f>
        <v>29301024</v>
      </c>
      <c r="E385" s="182" t="str">
        <f>IF(' جهات'!F492&gt;0,' جهات'!F492,"")</f>
        <v>بناء مستودع كلية العلوم/ مشروطة بالتمويل</v>
      </c>
      <c r="F385" s="65">
        <f>IF(' جهات'!G492&gt;0,' جهات'!G492,"")</f>
        <v>200000</v>
      </c>
      <c r="G385" s="65">
        <f>IF(' جهات'!H492&gt;0,' جهات'!H492,"")</f>
        <v>200000</v>
      </c>
      <c r="H385" s="65" t="str">
        <f>IF(' جهات'!I492&gt;0,' جهات'!I492,"")</f>
        <v/>
      </c>
      <c r="I385" s="65" t="str">
        <f>IF(' جهات'!J492&gt;0,' جهات'!J492,"")</f>
        <v/>
      </c>
      <c r="J385" s="137" t="str">
        <f>IF(' جهات'!K492&gt;0,' جهات'!K492,"")</f>
        <v/>
      </c>
      <c r="K385" s="112" t="str">
        <f t="shared" si="108"/>
        <v/>
      </c>
    </row>
    <row r="386" spans="2:11" s="46" customFormat="1" x14ac:dyDescent="0.2">
      <c r="B386" s="511"/>
      <c r="C386" s="499"/>
      <c r="D386" s="126">
        <f>IF(' جهات'!E493&gt;0,' جهات'!E493,"")</f>
        <v>29301025</v>
      </c>
      <c r="E386" s="182" t="str">
        <f>IF(' جهات'!F493&gt;0,' جهات'!F493,"")</f>
        <v>بناء هنجر للمستودعات الرئيسية/ مشروطة بالتمويل</v>
      </c>
      <c r="F386" s="65">
        <f>IF(' جهات'!G493&gt;0,' جهات'!G493,"")</f>
        <v>200000</v>
      </c>
      <c r="G386" s="65">
        <f>IF(' جهات'!H493&gt;0,' جهات'!H493,"")</f>
        <v>200000</v>
      </c>
      <c r="H386" s="118" t="str">
        <f>IF(' جهات'!I493&gt;0,' جهات'!I493,"")</f>
        <v/>
      </c>
      <c r="I386" s="65" t="str">
        <f>IF(' جهات'!J493&gt;0,' جهات'!J493,"")</f>
        <v/>
      </c>
      <c r="J386" s="137" t="str">
        <f>IF(' جهات'!K493&gt;0,' جهات'!K493,"")</f>
        <v/>
      </c>
      <c r="K386" s="112" t="str">
        <f t="shared" si="108"/>
        <v/>
      </c>
    </row>
    <row r="387" spans="2:11" s="46" customFormat="1" x14ac:dyDescent="0.2">
      <c r="B387" s="511"/>
      <c r="C387" s="499"/>
      <c r="D387" s="54">
        <f>IF(' جهات'!E494&gt;0,' جهات'!E494,"")</f>
        <v>29301026</v>
      </c>
      <c r="E387" s="181" t="str">
        <f>IF(' جهات'!F494&gt;0,' جهات'!F494,"")</f>
        <v>مجمع القاعات التدريسية وقاعة المؤتمرات/ مشروطة بالتمويل</v>
      </c>
      <c r="F387" s="65">
        <f>IF(' جهات'!G494&gt;0,' جهات'!G494,"")</f>
        <v>3900000</v>
      </c>
      <c r="G387" s="65">
        <f>IF(' جهات'!H494&gt;0,' جهات'!H494,"")</f>
        <v>3900000</v>
      </c>
      <c r="H387" s="118" t="str">
        <f>IF(' جهات'!I494&gt;0,' جهات'!I494,"")</f>
        <v/>
      </c>
      <c r="I387" s="65" t="str">
        <f>IF(' جهات'!J494&gt;0,' جهات'!J494,"")</f>
        <v/>
      </c>
      <c r="J387" s="137">
        <f>IF(' جهات'!K494&gt;0,' جهات'!K494,"")</f>
        <v>3000000</v>
      </c>
      <c r="K387" s="112">
        <f t="shared" si="108"/>
        <v>0.76923076923076927</v>
      </c>
    </row>
    <row r="388" spans="2:11" s="46" customFormat="1" x14ac:dyDescent="0.2">
      <c r="B388" s="511"/>
      <c r="C388" s="499"/>
      <c r="D388" s="54">
        <f>IF(' جهات'!E495&gt;0,' جهات'!E495,"")</f>
        <v>29301027</v>
      </c>
      <c r="E388" s="181" t="str">
        <f>IF(' جهات'!F495&gt;0,' جهات'!F495,"")</f>
        <v>جمنازيوم رياضي متعدد الأغراض (تربية بدنية)/ مشروطة بالتمويل</v>
      </c>
      <c r="F388" s="65">
        <f>IF(' جهات'!G495&gt;0,' جهات'!G495,"")</f>
        <v>200000</v>
      </c>
      <c r="G388" s="65">
        <f>IF(' جهات'!H495&gt;0,' جهات'!H495,"")</f>
        <v>200000</v>
      </c>
      <c r="H388" s="118" t="str">
        <f>IF(' جهات'!I495&gt;0,' جهات'!I495,"")</f>
        <v/>
      </c>
      <c r="I388" s="65" t="str">
        <f>IF(' جهات'!J495&gt;0,' جهات'!J495,"")</f>
        <v/>
      </c>
      <c r="J388" s="137">
        <f>IF(' جهات'!K495&gt;0,' جهات'!K495,"")</f>
        <v>180000</v>
      </c>
      <c r="K388" s="112">
        <f t="shared" si="108"/>
        <v>0.9</v>
      </c>
    </row>
    <row r="389" spans="2:11" x14ac:dyDescent="0.2">
      <c r="B389" s="511"/>
      <c r="C389" s="497" t="s">
        <v>23</v>
      </c>
      <c r="D389" s="497"/>
      <c r="E389" s="497"/>
      <c r="F389" s="149">
        <f>SUM(F379:F388)</f>
        <v>7800000</v>
      </c>
      <c r="G389" s="149">
        <f t="shared" ref="G389:J389" si="109">SUM(G379:G388)</f>
        <v>7800000</v>
      </c>
      <c r="H389" s="149">
        <f t="shared" si="109"/>
        <v>1605202.264</v>
      </c>
      <c r="I389" s="149">
        <f t="shared" si="109"/>
        <v>435635.56599999999</v>
      </c>
      <c r="J389" s="149">
        <f t="shared" si="109"/>
        <v>6655000</v>
      </c>
      <c r="K389" s="112">
        <f t="shared" si="108"/>
        <v>0.85320512820512817</v>
      </c>
    </row>
    <row r="390" spans="2:11" x14ac:dyDescent="0.2">
      <c r="B390" s="511"/>
      <c r="C390" s="500" t="s">
        <v>332</v>
      </c>
      <c r="D390" s="500"/>
      <c r="E390" s="500"/>
      <c r="F390" s="500"/>
      <c r="G390" s="500"/>
      <c r="H390" s="500"/>
      <c r="I390" s="500"/>
      <c r="J390" s="500"/>
      <c r="K390" s="501"/>
    </row>
    <row r="391" spans="2:11" x14ac:dyDescent="0.2">
      <c r="B391" s="511"/>
      <c r="C391" s="507">
        <v>2</v>
      </c>
      <c r="D391" s="54">
        <f>IF(' جهات'!E496&gt;0,' جهات'!E496,"")</f>
        <v>29302001</v>
      </c>
      <c r="E391" s="181" t="str">
        <f>IF(' جهات'!F496&gt;0,' جهات'!F496,"")</f>
        <v>أجهزة حاسوب وملحقاتها/ مشروطة بالتمويل</v>
      </c>
      <c r="F391" s="65">
        <f>IF(' جهات'!G496&gt;0,' جهات'!G496,"")</f>
        <v>100000</v>
      </c>
      <c r="G391" s="65">
        <f>IF(' جهات'!H496&gt;0,' جهات'!H496,"")</f>
        <v>100000</v>
      </c>
      <c r="H391" s="65" t="str">
        <f>IF(' جهات'!I496&gt;0,' جهات'!I496,"")</f>
        <v/>
      </c>
      <c r="I391" s="65">
        <f>IF(' جهات'!J496&gt;0,' جهات'!J496,"")</f>
        <v>39800</v>
      </c>
      <c r="J391" s="137">
        <f>IF(' جهات'!K496&gt;0,' جهات'!K496,"")</f>
        <v>100000</v>
      </c>
      <c r="K391" s="112">
        <f t="shared" ref="K391:K401" si="110">IFERROR(J391/F391,"")</f>
        <v>1</v>
      </c>
    </row>
    <row r="392" spans="2:11" x14ac:dyDescent="0.2">
      <c r="B392" s="511"/>
      <c r="C392" s="507"/>
      <c r="D392" s="54">
        <f>IF(' جهات'!E497&gt;0,' جهات'!E497,"")</f>
        <v>29302002</v>
      </c>
      <c r="E392" s="181" t="str">
        <f>IF(' جهات'!F497&gt;0,' جهات'!F497,"")</f>
        <v>أجهزة وتجهيزات خاصة بالمختبرات/ مشروطة بالتمويل</v>
      </c>
      <c r="F392" s="65">
        <f>IF(' جهات'!G497&gt;0,' جهات'!G497,"")</f>
        <v>100000</v>
      </c>
      <c r="G392" s="65">
        <f>IF(' جهات'!H497&gt;0,' جهات'!H497,"")</f>
        <v>100000</v>
      </c>
      <c r="H392" s="65" t="str">
        <f>IF(' جهات'!I497&gt;0,' جهات'!I497,"")</f>
        <v/>
      </c>
      <c r="I392" s="65" t="str">
        <f>IF(' جهات'!J497&gt;0,' جهات'!J497,"")</f>
        <v/>
      </c>
      <c r="J392" s="137">
        <f>IF(' جهات'!K497&gt;0,' جهات'!K497,"")</f>
        <v>100000</v>
      </c>
      <c r="K392" s="112">
        <f t="shared" si="110"/>
        <v>1</v>
      </c>
    </row>
    <row r="393" spans="2:11" x14ac:dyDescent="0.2">
      <c r="B393" s="511"/>
      <c r="C393" s="507"/>
      <c r="D393" s="54">
        <f>IF(' جهات'!E498&gt;0,' جهات'!E498,"")</f>
        <v>29302003</v>
      </c>
      <c r="E393" s="181" t="str">
        <f>IF(' جهات'!F498&gt;0,' جهات'!F498,"")</f>
        <v>أجهزة وتجهيزات متنوعة/ مشروطة بالتمويل</v>
      </c>
      <c r="F393" s="65">
        <f>IF(' جهات'!G498&gt;0,' جهات'!G498,"")</f>
        <v>100000</v>
      </c>
      <c r="G393" s="65">
        <f>IF(' جهات'!H498&gt;0,' جهات'!H498,"")</f>
        <v>100000</v>
      </c>
      <c r="H393" s="65" t="str">
        <f>IF(' جهات'!I498&gt;0,' جهات'!I498,"")</f>
        <v/>
      </c>
      <c r="I393" s="65" t="str">
        <f>IF(' جهات'!J498&gt;0,' جهات'!J498,"")</f>
        <v/>
      </c>
      <c r="J393" s="137">
        <f>IF(' جهات'!K498&gt;0,' جهات'!K498,"")</f>
        <v>100000</v>
      </c>
      <c r="K393" s="112">
        <f t="shared" si="110"/>
        <v>1</v>
      </c>
    </row>
    <row r="394" spans="2:11" x14ac:dyDescent="0.2">
      <c r="B394" s="511"/>
      <c r="C394" s="507"/>
      <c r="D394" s="54">
        <f>IF(' جهات'!E499&gt;0,' جهات'!E499,"")</f>
        <v>29302004</v>
      </c>
      <c r="E394" s="181" t="str">
        <f>IF(' جهات'!F499&gt;0,' جهات'!F499,"")</f>
        <v>تطوير وتأهيل البنية التحتية للشبكات المختلفة/ مشروطة بالتمويل</v>
      </c>
      <c r="F394" s="65">
        <f>IF(' جهات'!G499&gt;0,' جهات'!G499,"")</f>
        <v>100000</v>
      </c>
      <c r="G394" s="65">
        <f>IF(' جهات'!H499&gt;0,' جهات'!H499,"")</f>
        <v>100000</v>
      </c>
      <c r="H394" s="65" t="str">
        <f>IF(' جهات'!I499&gt;0,' جهات'!I499,"")</f>
        <v/>
      </c>
      <c r="I394" s="65" t="str">
        <f>IF(' جهات'!J499&gt;0,' جهات'!J499,"")</f>
        <v/>
      </c>
      <c r="J394" s="137">
        <f>IF(' جهات'!K499&gt;0,' جهات'!K499,"")</f>
        <v>100000</v>
      </c>
      <c r="K394" s="112">
        <f t="shared" si="110"/>
        <v>1</v>
      </c>
    </row>
    <row r="395" spans="2:11" s="46" customFormat="1" x14ac:dyDescent="0.2">
      <c r="B395" s="511"/>
      <c r="C395" s="507"/>
      <c r="D395" s="54">
        <f>IF(' جهات'!E500&gt;0,' جهات'!E500,"")</f>
        <v>29302005</v>
      </c>
      <c r="E395" s="181" t="str">
        <f>IF(' جهات'!F500&gt;0,' جهات'!F500,"")</f>
        <v>تأهيل مسابح الجامعة والمسبح الأولمبي/ مشروطة بالتمويل</v>
      </c>
      <c r="F395" s="65">
        <f>IF(' جهات'!G500&gt;0,' جهات'!G500,"")</f>
        <v>100000</v>
      </c>
      <c r="G395" s="65">
        <f>IF(' جهات'!H500&gt;0,' جهات'!H500,"")</f>
        <v>100000</v>
      </c>
      <c r="H395" s="65">
        <f>IF(' جهات'!I500&gt;0,' جهات'!I500,"")</f>
        <v>14528.2</v>
      </c>
      <c r="I395" s="65">
        <f>IF(' جهات'!J500&gt;0,' جهات'!J500,"")</f>
        <v>1</v>
      </c>
      <c r="J395" s="137">
        <f>IF(' جهات'!K500&gt;0,' جهات'!K500,"")</f>
        <v>100000</v>
      </c>
      <c r="K395" s="112">
        <f t="shared" si="110"/>
        <v>1</v>
      </c>
    </row>
    <row r="396" spans="2:11" s="46" customFormat="1" x14ac:dyDescent="0.2">
      <c r="B396" s="511"/>
      <c r="C396" s="507"/>
      <c r="D396" s="54">
        <f>IF(' جهات'!E501&gt;0,' جهات'!E501,"")</f>
        <v>29302006</v>
      </c>
      <c r="E396" s="181" t="str">
        <f>IF(' جهات'!F501&gt;0,' جهات'!F501,"")</f>
        <v>PADILEIA - Partnership for Digital Learning &amp; Increased Access</v>
      </c>
      <c r="F396" s="65">
        <f>IF(' جهات'!G501&gt;0,' جهات'!G501,"")</f>
        <v>2000000</v>
      </c>
      <c r="G396" s="65">
        <f>IF(' جهات'!H501&gt;0,' جهات'!H501,"")</f>
        <v>2000000</v>
      </c>
      <c r="H396" s="65" t="str">
        <f>IF(' جهات'!I501&gt;0,' جهات'!I501,"")</f>
        <v/>
      </c>
      <c r="I396" s="65" t="str">
        <f>IF(' جهات'!J501&gt;0,' جهات'!J501,"")</f>
        <v/>
      </c>
      <c r="J396" s="137">
        <f>IF(' جهات'!K501&gt;0,' جهات'!K501,"")</f>
        <v>1000000</v>
      </c>
      <c r="K396" s="112">
        <f t="shared" si="110"/>
        <v>0.5</v>
      </c>
    </row>
    <row r="397" spans="2:11" s="46" customFormat="1" x14ac:dyDescent="0.2">
      <c r="B397" s="511"/>
      <c r="C397" s="507"/>
      <c r="D397" s="54">
        <f>IF(' جهات'!E502&gt;0,' جهات'!E502,"")</f>
        <v>29302007</v>
      </c>
      <c r="E397" s="181" t="str">
        <f>IF(' جهات'!F502&gt;0,' جهات'!F502,"")</f>
        <v>مشروع الشبكة اللاسلكية/ مشروطة بالتمويل</v>
      </c>
      <c r="F397" s="65">
        <f>IF(' جهات'!G502&gt;0,' جهات'!G502,"")</f>
        <v>200000</v>
      </c>
      <c r="G397" s="65">
        <f>IF(' جهات'!H502&gt;0,' جهات'!H502,"")</f>
        <v>200000</v>
      </c>
      <c r="H397" s="65" t="str">
        <f>IF(' جهات'!I502&gt;0,' جهات'!I502,"")</f>
        <v/>
      </c>
      <c r="I397" s="65" t="str">
        <f>IF(' جهات'!J502&gt;0,' جهات'!J502,"")</f>
        <v/>
      </c>
      <c r="J397" s="137">
        <f>IF(' جهات'!K502&gt;0,' جهات'!K502,"")</f>
        <v>200000</v>
      </c>
      <c r="K397" s="112">
        <f t="shared" si="110"/>
        <v>1</v>
      </c>
    </row>
    <row r="398" spans="2:11" s="46" customFormat="1" x14ac:dyDescent="0.2">
      <c r="B398" s="511"/>
      <c r="C398" s="507"/>
      <c r="D398" s="125" t="str">
        <f>IF(' جهات'!E503&gt;0,' جهات'!E503,"")</f>
        <v/>
      </c>
      <c r="E398" s="183" t="s">
        <v>564</v>
      </c>
      <c r="F398" s="65" t="str">
        <f>IF(' جهات'!G503&gt;0,' جهات'!G503,"")</f>
        <v/>
      </c>
      <c r="G398" s="65" t="str">
        <f>IF(' جهات'!H503&gt;0,' جهات'!H503,"")</f>
        <v/>
      </c>
      <c r="H398" s="65" t="str">
        <f>IF(' جهات'!I503&gt;0,' جهات'!I503,"")</f>
        <v/>
      </c>
      <c r="I398" s="65" t="str">
        <f>IF(' جهات'!J503&gt;0,' جهات'!J503,"")</f>
        <v/>
      </c>
      <c r="J398" s="137">
        <f>IF(' جهات'!K503&gt;0,' جهات'!K503,"")</f>
        <v>75000</v>
      </c>
      <c r="K398" s="112" t="str">
        <f t="shared" si="110"/>
        <v/>
      </c>
    </row>
    <row r="399" spans="2:11" s="46" customFormat="1" x14ac:dyDescent="0.2">
      <c r="B399" s="511"/>
      <c r="C399" s="507"/>
      <c r="D399" s="125" t="str">
        <f>IF(' جهات'!E504&gt;0,' جهات'!E504,"")</f>
        <v/>
      </c>
      <c r="E399" s="183" t="str">
        <f>IF(' جهات'!F504&gt;0,' جهات'!F504,"")</f>
        <v xml:space="preserve">مشروع المراسلات والأرشفة الالكترونية/ مشروطة بالتمويل </v>
      </c>
      <c r="F399" s="65" t="str">
        <f>IF(' جهات'!G504&gt;0,' جهات'!G504,"")</f>
        <v/>
      </c>
      <c r="G399" s="65" t="str">
        <f>IF(' جهات'!H504&gt;0,' جهات'!H504,"")</f>
        <v/>
      </c>
      <c r="H399" s="65" t="str">
        <f>IF(' جهات'!I504&gt;0,' جهات'!I504,"")</f>
        <v/>
      </c>
      <c r="I399" s="65" t="str">
        <f>IF(' جهات'!J504&gt;0,' جهات'!J504,"")</f>
        <v/>
      </c>
      <c r="J399" s="137">
        <f>IF(' جهات'!K504&gt;0,' جهات'!K504,"")</f>
        <v>70000</v>
      </c>
      <c r="K399" s="112" t="str">
        <f t="shared" si="110"/>
        <v/>
      </c>
    </row>
    <row r="400" spans="2:11" x14ac:dyDescent="0.2">
      <c r="B400" s="511"/>
      <c r="C400" s="497" t="s">
        <v>23</v>
      </c>
      <c r="D400" s="497"/>
      <c r="E400" s="497"/>
      <c r="F400" s="149">
        <f>SUM(F391:F399)</f>
        <v>2700000</v>
      </c>
      <c r="G400" s="149">
        <f t="shared" ref="G400:I400" si="111">SUM(G391:G399)</f>
        <v>2700000</v>
      </c>
      <c r="H400" s="149">
        <f t="shared" si="111"/>
        <v>14528.2</v>
      </c>
      <c r="I400" s="149">
        <f t="shared" si="111"/>
        <v>39801</v>
      </c>
      <c r="J400" s="149">
        <f>SUM(J391:J399)</f>
        <v>1845000</v>
      </c>
      <c r="K400" s="112">
        <f t="shared" si="110"/>
        <v>0.68333333333333335</v>
      </c>
    </row>
    <row r="401" spans="2:11" s="46" customFormat="1" x14ac:dyDescent="0.2">
      <c r="B401" s="432" t="s">
        <v>630</v>
      </c>
      <c r="C401" s="433"/>
      <c r="D401" s="433"/>
      <c r="E401" s="433"/>
      <c r="F401" s="150">
        <f>F389+F400</f>
        <v>10500000</v>
      </c>
      <c r="G401" s="150">
        <f t="shared" ref="G401:J401" si="112">G389+G400</f>
        <v>10500000</v>
      </c>
      <c r="H401" s="150">
        <f t="shared" si="112"/>
        <v>1619730.4639999999</v>
      </c>
      <c r="I401" s="150">
        <f t="shared" si="112"/>
        <v>475436.56599999999</v>
      </c>
      <c r="J401" s="150">
        <f t="shared" si="112"/>
        <v>8500000</v>
      </c>
      <c r="K401" s="112">
        <f t="shared" si="110"/>
        <v>0.80952380952380953</v>
      </c>
    </row>
    <row r="402" spans="2:11" s="46" customFormat="1" x14ac:dyDescent="0.2">
      <c r="B402" s="472" t="s">
        <v>633</v>
      </c>
      <c r="C402" s="473"/>
      <c r="D402" s="473"/>
      <c r="E402" s="473"/>
      <c r="F402" s="473"/>
      <c r="G402" s="473"/>
      <c r="H402" s="473"/>
      <c r="I402" s="473"/>
      <c r="J402" s="473"/>
      <c r="K402" s="474"/>
    </row>
    <row r="403" spans="2:11" s="46" customFormat="1" x14ac:dyDescent="0.2">
      <c r="B403" s="511">
        <v>94</v>
      </c>
      <c r="C403" s="515" t="s">
        <v>590</v>
      </c>
      <c r="D403" s="515"/>
      <c r="E403" s="515"/>
      <c r="F403" s="515"/>
      <c r="G403" s="515"/>
      <c r="H403" s="515"/>
      <c r="I403" s="515"/>
      <c r="J403" s="515"/>
      <c r="K403" s="516"/>
    </row>
    <row r="404" spans="2:11" s="46" customFormat="1" x14ac:dyDescent="0.2">
      <c r="B404" s="511"/>
      <c r="C404" s="507">
        <v>1</v>
      </c>
      <c r="D404" s="157"/>
      <c r="E404" s="57" t="s">
        <v>612</v>
      </c>
      <c r="F404" s="56" t="str">
        <f>IF(' جهات'!G506&gt;0,+' جهات'!G506,"")</f>
        <v/>
      </c>
      <c r="G404" s="56" t="str">
        <f>IF(' جهات'!H506&gt;0,+' جهات'!H506,"")</f>
        <v/>
      </c>
      <c r="H404" s="56" t="str">
        <f>IF(' جهات'!I506&gt;0,+' جهات'!I506,"")</f>
        <v/>
      </c>
      <c r="I404" s="56" t="str">
        <f>IF(' جهات'!J506&gt;0,+' جهات'!J506,"")</f>
        <v/>
      </c>
      <c r="J404" s="137">
        <f>IF(' جهات'!K506&gt;0,+' جهات'!K506,"")</f>
        <v>10000</v>
      </c>
      <c r="K404" s="112" t="str">
        <f t="shared" ref="K404:K415" si="113">IFERROR(J404/F404,"")</f>
        <v/>
      </c>
    </row>
    <row r="405" spans="2:11" s="46" customFormat="1" x14ac:dyDescent="0.2">
      <c r="B405" s="511"/>
      <c r="C405" s="507"/>
      <c r="D405" s="156"/>
      <c r="E405" s="50" t="s">
        <v>566</v>
      </c>
      <c r="F405" s="56">
        <f>IF(' جهات'!G507&gt;0,+' جهات'!G507,"")</f>
        <v>25000</v>
      </c>
      <c r="G405" s="56">
        <f>IF(' جهات'!H507&gt;0,+' جهات'!H507,"")</f>
        <v>25000</v>
      </c>
      <c r="H405" s="56">
        <f>IF(' جهات'!I507&gt;0,+' جهات'!I507,"")</f>
        <v>15320</v>
      </c>
      <c r="I405" s="56" t="str">
        <f>IF(' جهات'!J507&gt;0,+' جهات'!J507,"")</f>
        <v/>
      </c>
      <c r="J405" s="137">
        <f>IF(' جهات'!K507&gt;0,+' جهات'!K507,"")</f>
        <v>15000</v>
      </c>
      <c r="K405" s="112">
        <f t="shared" si="113"/>
        <v>0.6</v>
      </c>
    </row>
    <row r="406" spans="2:11" s="46" customFormat="1" x14ac:dyDescent="0.2">
      <c r="B406" s="511"/>
      <c r="C406" s="507"/>
      <c r="D406" s="156"/>
      <c r="E406" s="50" t="s">
        <v>567</v>
      </c>
      <c r="F406" s="56">
        <f>IF(' جهات'!G508&gt;0,+' جهات'!G508,"")</f>
        <v>100000</v>
      </c>
      <c r="G406" s="56">
        <f>IF(' جهات'!H508&gt;0,+' جهات'!H508,"")</f>
        <v>100000</v>
      </c>
      <c r="H406" s="56">
        <f>IF(' جهات'!I508&gt;0,+' جهات'!I508,"")</f>
        <v>85006</v>
      </c>
      <c r="I406" s="56" t="str">
        <f>IF(' جهات'!J508&gt;0,+' جهات'!J508,"")</f>
        <v/>
      </c>
      <c r="J406" s="137">
        <f>IF(' جهات'!K508&gt;0,+' جهات'!K508,"")</f>
        <v>100000</v>
      </c>
      <c r="K406" s="112">
        <f t="shared" si="113"/>
        <v>1</v>
      </c>
    </row>
    <row r="407" spans="2:11" s="46" customFormat="1" x14ac:dyDescent="0.2">
      <c r="B407" s="511"/>
      <c r="C407" s="507"/>
      <c r="D407" s="156"/>
      <c r="E407" s="50" t="s">
        <v>568</v>
      </c>
      <c r="F407" s="56">
        <f>IF(' جهات'!G509&gt;0,+' جهات'!G509,"")</f>
        <v>850000</v>
      </c>
      <c r="G407" s="56">
        <f>IF(' جهات'!H509&gt;0,+' جهات'!H509,"")</f>
        <v>1265000</v>
      </c>
      <c r="H407" s="56">
        <f>IF(' جهات'!I509&gt;0,+' جهات'!I509,"")</f>
        <v>39456</v>
      </c>
      <c r="I407" s="56" t="str">
        <f>IF(' جهات'!J509&gt;0,+' جهات'!J509,"")</f>
        <v/>
      </c>
      <c r="J407" s="137">
        <f>IF(' جهات'!K509&gt;0,+' جهات'!K509,"")</f>
        <v>50000</v>
      </c>
      <c r="K407" s="112">
        <f t="shared" si="113"/>
        <v>5.8823529411764705E-2</v>
      </c>
    </row>
    <row r="408" spans="2:11" s="46" customFormat="1" x14ac:dyDescent="0.2">
      <c r="B408" s="511"/>
      <c r="C408" s="507"/>
      <c r="D408" s="157"/>
      <c r="E408" s="57" t="s">
        <v>569</v>
      </c>
      <c r="F408" s="56"/>
      <c r="G408" s="56"/>
      <c r="H408" s="56">
        <f>IF(' جهات'!I510&gt;0,+' جهات'!I510,"")</f>
        <v>1217849.1000000001</v>
      </c>
      <c r="I408" s="56" t="str">
        <f>IF(' جهات'!J510&gt;0,+' جهات'!J510,"")</f>
        <v/>
      </c>
      <c r="J408" s="137">
        <f>IF(' جهات'!K510&gt;0,+' جهات'!K510,"")</f>
        <v>1160000</v>
      </c>
      <c r="K408" s="112" t="str">
        <f t="shared" si="113"/>
        <v/>
      </c>
    </row>
    <row r="409" spans="2:11" s="46" customFormat="1" x14ac:dyDescent="0.2">
      <c r="B409" s="511"/>
      <c r="C409" s="507"/>
      <c r="D409" s="156"/>
      <c r="E409" s="50" t="s">
        <v>570</v>
      </c>
      <c r="F409" s="56">
        <f>IF(' جهات'!G511&gt;0,+' جهات'!G511,"")</f>
        <v>45000</v>
      </c>
      <c r="G409" s="56">
        <f>IF(' جهات'!H511&gt;0,+' جهات'!H511,"")</f>
        <v>45000</v>
      </c>
      <c r="H409" s="56">
        <f>IF(' جهات'!I511&gt;0,+' جهات'!I511,"")</f>
        <v>16012.800000000001</v>
      </c>
      <c r="I409" s="56" t="str">
        <f>IF(' جهات'!J511&gt;0,+' جهات'!J511,"")</f>
        <v/>
      </c>
      <c r="J409" s="137">
        <f>IF(' جهات'!K511&gt;0,+' جهات'!K511,"")</f>
        <v>20000</v>
      </c>
      <c r="K409" s="112">
        <f t="shared" si="113"/>
        <v>0.44444444444444442</v>
      </c>
    </row>
    <row r="410" spans="2:11" s="46" customFormat="1" x14ac:dyDescent="0.2">
      <c r="B410" s="511"/>
      <c r="C410" s="507"/>
      <c r="D410" s="157"/>
      <c r="E410" s="57" t="s">
        <v>571</v>
      </c>
      <c r="F410" s="56"/>
      <c r="G410" s="56"/>
      <c r="H410" s="56">
        <f>IF(' جهات'!I512&gt;0,+' جهات'!I512,"")</f>
        <v>22186.499999999993</v>
      </c>
      <c r="I410" s="56" t="str">
        <f>IF(' جهات'!J512&gt;0,+' جهات'!J512,"")</f>
        <v/>
      </c>
      <c r="J410" s="137">
        <f>IF(' جهات'!K512&gt;0,+' جهات'!K512,"")</f>
        <v>25000</v>
      </c>
      <c r="K410" s="112" t="str">
        <f t="shared" si="113"/>
        <v/>
      </c>
    </row>
    <row r="411" spans="2:11" s="46" customFormat="1" x14ac:dyDescent="0.2">
      <c r="B411" s="511"/>
      <c r="C411" s="507"/>
      <c r="D411" s="156"/>
      <c r="E411" s="50" t="s">
        <v>572</v>
      </c>
      <c r="F411" s="56">
        <f>IF(' جهات'!G513&gt;0,+' جهات'!G513,"")</f>
        <v>100000</v>
      </c>
      <c r="G411" s="56">
        <f>IF(' جهات'!H513&gt;0,+' جهات'!H513,"")</f>
        <v>108000</v>
      </c>
      <c r="H411" s="56">
        <f>IF(' جهات'!I513&gt;0,+' جهات'!I513,"")</f>
        <v>92311.3</v>
      </c>
      <c r="I411" s="56" t="str">
        <f>IF(' جهات'!J513&gt;0,+' جهات'!J513,"")</f>
        <v/>
      </c>
      <c r="J411" s="137">
        <f>IF(' جهات'!K513&gt;0,+' جهات'!K513,"")</f>
        <v>100000</v>
      </c>
      <c r="K411" s="112">
        <f t="shared" si="113"/>
        <v>1</v>
      </c>
    </row>
    <row r="412" spans="2:11" s="46" customFormat="1" x14ac:dyDescent="0.2">
      <c r="B412" s="511"/>
      <c r="C412" s="507"/>
      <c r="D412" s="157"/>
      <c r="E412" s="57" t="s">
        <v>573</v>
      </c>
      <c r="F412" s="56"/>
      <c r="G412" s="56"/>
      <c r="H412" s="56">
        <f>IF(' جهات'!I514&gt;0,+' جهات'!I514,"")</f>
        <v>15245</v>
      </c>
      <c r="I412" s="56" t="str">
        <f>IF(' جهات'!J514&gt;0,+' جهات'!J514,"")</f>
        <v/>
      </c>
      <c r="J412" s="137">
        <f>IF(' جهات'!K514&gt;0,+' جهات'!K514,"")</f>
        <v>20000</v>
      </c>
      <c r="K412" s="112" t="str">
        <f t="shared" si="113"/>
        <v/>
      </c>
    </row>
    <row r="413" spans="2:11" s="46" customFormat="1" x14ac:dyDescent="0.2">
      <c r="B413" s="511"/>
      <c r="C413" s="497" t="s">
        <v>23</v>
      </c>
      <c r="D413" s="497"/>
      <c r="E413" s="497"/>
      <c r="F413" s="244">
        <f>SUM(F404:F412)</f>
        <v>1120000</v>
      </c>
      <c r="G413" s="244">
        <f>SUM(G404:G412)</f>
        <v>1543000</v>
      </c>
      <c r="H413" s="244">
        <f t="shared" ref="H413:J413" si="114">SUM(H404:H412)</f>
        <v>1503386.7000000002</v>
      </c>
      <c r="I413" s="244">
        <f t="shared" si="114"/>
        <v>0</v>
      </c>
      <c r="J413" s="244">
        <f t="shared" si="114"/>
        <v>1500000</v>
      </c>
      <c r="K413" s="112">
        <f t="shared" si="113"/>
        <v>1.3392857142857142</v>
      </c>
    </row>
    <row r="414" spans="2:11" s="46" customFormat="1" x14ac:dyDescent="0.2">
      <c r="B414" s="432" t="s">
        <v>634</v>
      </c>
      <c r="C414" s="433"/>
      <c r="D414" s="433"/>
      <c r="E414" s="433"/>
      <c r="F414" s="150">
        <f>SUM(F413)</f>
        <v>1120000</v>
      </c>
      <c r="G414" s="150">
        <f t="shared" ref="G414:J414" si="115">SUM(G413)</f>
        <v>1543000</v>
      </c>
      <c r="H414" s="150">
        <f t="shared" si="115"/>
        <v>1503386.7000000002</v>
      </c>
      <c r="I414" s="150">
        <f t="shared" si="115"/>
        <v>0</v>
      </c>
      <c r="J414" s="150">
        <f t="shared" si="115"/>
        <v>1500000</v>
      </c>
      <c r="K414" s="112">
        <f t="shared" si="113"/>
        <v>1.3392857142857142</v>
      </c>
    </row>
    <row r="415" spans="2:11" ht="15" thickBot="1" x14ac:dyDescent="0.25">
      <c r="B415" s="475" t="s">
        <v>658</v>
      </c>
      <c r="C415" s="476"/>
      <c r="D415" s="476"/>
      <c r="E415" s="476"/>
      <c r="F415" s="232">
        <f>F401+F414</f>
        <v>11620000</v>
      </c>
      <c r="G415" s="232">
        <f>G401+G414</f>
        <v>12043000</v>
      </c>
      <c r="H415" s="232">
        <f t="shared" ref="H415" si="116">H401+H414</f>
        <v>3123117.1639999999</v>
      </c>
      <c r="I415" s="232">
        <f>I401+I414</f>
        <v>475436.56599999999</v>
      </c>
      <c r="J415" s="232">
        <f>J401+J414</f>
        <v>10000000</v>
      </c>
      <c r="K415" s="196">
        <f t="shared" si="113"/>
        <v>0.86058519793459554</v>
      </c>
    </row>
    <row r="417" spans="6:10" x14ac:dyDescent="0.2">
      <c r="F417" s="229">
        <f>F361+F373+F415</f>
        <v>64000000</v>
      </c>
      <c r="G417" s="229">
        <f>G361+G373+G415</f>
        <v>64000000</v>
      </c>
      <c r="H417" s="229">
        <f>H361+H373+H415</f>
        <v>47569240.414999999</v>
      </c>
      <c r="I417" s="229">
        <f>I361+I373+I415</f>
        <v>2785791.517</v>
      </c>
      <c r="J417" s="229">
        <f>J361+J373+J415</f>
        <v>68814000</v>
      </c>
    </row>
    <row r="418" spans="6:10" x14ac:dyDescent="0.2">
      <c r="F418" s="229">
        <f>' جهات'!G528-'ن-فرعي'!F417</f>
        <v>0</v>
      </c>
      <c r="G418" s="229">
        <f>' جهات'!H528-'ن-فرعي'!G417</f>
        <v>0</v>
      </c>
      <c r="H418" s="229">
        <f>' جهات'!I528-'ن-فرعي'!H417</f>
        <v>0</v>
      </c>
      <c r="I418" s="229">
        <f>' جهات'!J528-'ن-فرعي'!I417</f>
        <v>0</v>
      </c>
      <c r="J418" s="229">
        <f>' جهات'!K528-'ن-فرعي'!J417</f>
        <v>0</v>
      </c>
    </row>
  </sheetData>
  <mergeCells count="282">
    <mergeCell ref="C198:E198"/>
    <mergeCell ref="C93:K93"/>
    <mergeCell ref="C92:E92"/>
    <mergeCell ref="C241:E241"/>
    <mergeCell ref="B235:B241"/>
    <mergeCell ref="C235:K235"/>
    <mergeCell ref="B402:K402"/>
    <mergeCell ref="C113:K113"/>
    <mergeCell ref="C98:E98"/>
    <mergeCell ref="C218:E218"/>
    <mergeCell ref="C246:E246"/>
    <mergeCell ref="C232:E232"/>
    <mergeCell ref="C227:K227"/>
    <mergeCell ref="B226:K226"/>
    <mergeCell ref="C244:K244"/>
    <mergeCell ref="B244:B246"/>
    <mergeCell ref="C224:E224"/>
    <mergeCell ref="B220:K220"/>
    <mergeCell ref="C118:E118"/>
    <mergeCell ref="C116:K116"/>
    <mergeCell ref="C115:E115"/>
    <mergeCell ref="B219:E219"/>
    <mergeCell ref="C215:E215"/>
    <mergeCell ref="C208:K208"/>
    <mergeCell ref="B189:E189"/>
    <mergeCell ref="B243:K243"/>
    <mergeCell ref="B233:E233"/>
    <mergeCell ref="C339:K339"/>
    <mergeCell ref="C313:C314"/>
    <mergeCell ref="B329:K329"/>
    <mergeCell ref="B249:B258"/>
    <mergeCell ref="C249:K249"/>
    <mergeCell ref="C284:E284"/>
    <mergeCell ref="B207:K207"/>
    <mergeCell ref="C203:E203"/>
    <mergeCell ref="B242:E242"/>
    <mergeCell ref="C191:K191"/>
    <mergeCell ref="C222:C223"/>
    <mergeCell ref="C228:C231"/>
    <mergeCell ref="B275:E275"/>
    <mergeCell ref="B276:E276"/>
    <mergeCell ref="C269:K269"/>
    <mergeCell ref="C264:E264"/>
    <mergeCell ref="C256:K256"/>
    <mergeCell ref="C258:E258"/>
    <mergeCell ref="C253:K253"/>
    <mergeCell ref="B269:B274"/>
    <mergeCell ref="B261:B264"/>
    <mergeCell ref="B200:K200"/>
    <mergeCell ref="B377:K377"/>
    <mergeCell ref="C334:K334"/>
    <mergeCell ref="C336:E336"/>
    <mergeCell ref="B361:E361"/>
    <mergeCell ref="C351:K351"/>
    <mergeCell ref="B362:K362"/>
    <mergeCell ref="B376:K376"/>
    <mergeCell ref="B373:E373"/>
    <mergeCell ref="B365:K365"/>
    <mergeCell ref="B372:E372"/>
    <mergeCell ref="B330:B336"/>
    <mergeCell ref="B366:B371"/>
    <mergeCell ref="C367:C371"/>
    <mergeCell ref="B375:E375"/>
    <mergeCell ref="C340:C341"/>
    <mergeCell ref="C330:K330"/>
    <mergeCell ref="C331:C332"/>
    <mergeCell ref="C333:E333"/>
    <mergeCell ref="C342:E342"/>
    <mergeCell ref="C343:K343"/>
    <mergeCell ref="C353:E353"/>
    <mergeCell ref="B355:K355"/>
    <mergeCell ref="C356:K356"/>
    <mergeCell ref="B415:E415"/>
    <mergeCell ref="B363:E363"/>
    <mergeCell ref="C404:C412"/>
    <mergeCell ref="F363:I363"/>
    <mergeCell ref="J363:K363"/>
    <mergeCell ref="C143:K143"/>
    <mergeCell ref="C133:K133"/>
    <mergeCell ref="C152:K152"/>
    <mergeCell ref="C124:K124"/>
    <mergeCell ref="C151:E151"/>
    <mergeCell ref="C148:K148"/>
    <mergeCell ref="C147:E147"/>
    <mergeCell ref="C193:E193"/>
    <mergeCell ref="B208:B218"/>
    <mergeCell ref="B234:K234"/>
    <mergeCell ref="C366:K366"/>
    <mergeCell ref="C350:E350"/>
    <mergeCell ref="C285:K285"/>
    <mergeCell ref="B199:E199"/>
    <mergeCell ref="C413:E413"/>
    <mergeCell ref="B403:B413"/>
    <mergeCell ref="C403:K403"/>
    <mergeCell ref="C261:K261"/>
    <mergeCell ref="B260:K260"/>
    <mergeCell ref="B195:K195"/>
    <mergeCell ref="D2:D3"/>
    <mergeCell ref="E2:E3"/>
    <mergeCell ref="C57:C61"/>
    <mergeCell ref="B4:K4"/>
    <mergeCell ref="B6:B31"/>
    <mergeCell ref="C16:C19"/>
    <mergeCell ref="C22:C25"/>
    <mergeCell ref="C28:C30"/>
    <mergeCell ref="B5:K5"/>
    <mergeCell ref="C14:E14"/>
    <mergeCell ref="C6:K6"/>
    <mergeCell ref="C31:E31"/>
    <mergeCell ref="C42:E42"/>
    <mergeCell ref="C40:K40"/>
    <mergeCell ref="B1:C3"/>
    <mergeCell ref="C43:K43"/>
    <mergeCell ref="B51:B83"/>
    <mergeCell ref="C66:K66"/>
    <mergeCell ref="C65:E65"/>
    <mergeCell ref="F3:I3"/>
    <mergeCell ref="C39:E39"/>
    <mergeCell ref="C37:K37"/>
    <mergeCell ref="C36:E36"/>
    <mergeCell ref="C344:C349"/>
    <mergeCell ref="B378:B400"/>
    <mergeCell ref="C379:C388"/>
    <mergeCell ref="C391:C399"/>
    <mergeCell ref="C390:K390"/>
    <mergeCell ref="B364:K364"/>
    <mergeCell ref="B374:K374"/>
    <mergeCell ref="F375:I375"/>
    <mergeCell ref="J375:K375"/>
    <mergeCell ref="B359:E359"/>
    <mergeCell ref="B360:E360"/>
    <mergeCell ref="C400:E400"/>
    <mergeCell ref="B354:E354"/>
    <mergeCell ref="C389:E389"/>
    <mergeCell ref="C378:K378"/>
    <mergeCell ref="B337:E337"/>
    <mergeCell ref="C15:K15"/>
    <mergeCell ref="C7:C13"/>
    <mergeCell ref="B32:E32"/>
    <mergeCell ref="C80:E80"/>
    <mergeCell ref="C77:K77"/>
    <mergeCell ref="C76:K76"/>
    <mergeCell ref="B49:E49"/>
    <mergeCell ref="B50:K50"/>
    <mergeCell ref="C48:E48"/>
    <mergeCell ref="B34:B48"/>
    <mergeCell ref="C52:C54"/>
    <mergeCell ref="C46:K46"/>
    <mergeCell ref="B33:K33"/>
    <mergeCell ref="C45:E45"/>
    <mergeCell ref="C51:K51"/>
    <mergeCell ref="C56:K56"/>
    <mergeCell ref="C55:E55"/>
    <mergeCell ref="C62:E62"/>
    <mergeCell ref="C75:E75"/>
    <mergeCell ref="C71:K71"/>
    <mergeCell ref="C70:E70"/>
    <mergeCell ref="C27:K27"/>
    <mergeCell ref="C26:E26"/>
    <mergeCell ref="C21:K21"/>
    <mergeCell ref="C20:E20"/>
    <mergeCell ref="C139:C141"/>
    <mergeCell ref="C173:C176"/>
    <mergeCell ref="C163:K163"/>
    <mergeCell ref="B123:K123"/>
    <mergeCell ref="C138:K138"/>
    <mergeCell ref="C86:K86"/>
    <mergeCell ref="B85:K85"/>
    <mergeCell ref="C158:C159"/>
    <mergeCell ref="C34:K34"/>
    <mergeCell ref="C125:C131"/>
    <mergeCell ref="C144:C146"/>
    <mergeCell ref="C63:K63"/>
    <mergeCell ref="C67:C69"/>
    <mergeCell ref="C78:C79"/>
    <mergeCell ref="C81:K81"/>
    <mergeCell ref="C83:E83"/>
    <mergeCell ref="B84:E84"/>
    <mergeCell ref="C72:C74"/>
    <mergeCell ref="C177:E177"/>
    <mergeCell ref="C153:C155"/>
    <mergeCell ref="C149:C150"/>
    <mergeCell ref="C119:K119"/>
    <mergeCell ref="C121:E121"/>
    <mergeCell ref="C164:C170"/>
    <mergeCell ref="C160:E160"/>
    <mergeCell ref="B86:B121"/>
    <mergeCell ref="B122:E122"/>
    <mergeCell ref="C96:K96"/>
    <mergeCell ref="C95:E95"/>
    <mergeCell ref="B227:B232"/>
    <mergeCell ref="C221:K221"/>
    <mergeCell ref="C132:E132"/>
    <mergeCell ref="C216:K216"/>
    <mergeCell ref="C209:C214"/>
    <mergeCell ref="B190:K190"/>
    <mergeCell ref="C196:K196"/>
    <mergeCell ref="B194:E194"/>
    <mergeCell ref="C172:K172"/>
    <mergeCell ref="C171:E171"/>
    <mergeCell ref="C134:C136"/>
    <mergeCell ref="C178:K178"/>
    <mergeCell ref="B162:K162"/>
    <mergeCell ref="B204:E204"/>
    <mergeCell ref="B221:B224"/>
    <mergeCell ref="B225:E225"/>
    <mergeCell ref="B161:E161"/>
    <mergeCell ref="C179:C187"/>
    <mergeCell ref="C157:K157"/>
    <mergeCell ref="C156:E156"/>
    <mergeCell ref="C142:E142"/>
    <mergeCell ref="C137:E137"/>
    <mergeCell ref="C188:E188"/>
    <mergeCell ref="C201:K201"/>
    <mergeCell ref="B328:E328"/>
    <mergeCell ref="B312:B327"/>
    <mergeCell ref="B339:B353"/>
    <mergeCell ref="B356:B358"/>
    <mergeCell ref="C279:K279"/>
    <mergeCell ref="B268:K268"/>
    <mergeCell ref="B277:K277"/>
    <mergeCell ref="C271:E271"/>
    <mergeCell ref="B278:K278"/>
    <mergeCell ref="C274:E274"/>
    <mergeCell ref="B279:B288"/>
    <mergeCell ref="C324:K324"/>
    <mergeCell ref="C325:C326"/>
    <mergeCell ref="B310:E310"/>
    <mergeCell ref="C317:C322"/>
    <mergeCell ref="C307:C308"/>
    <mergeCell ref="C306:K306"/>
    <mergeCell ref="C309:E309"/>
    <mergeCell ref="C316:K316"/>
    <mergeCell ref="C327:E327"/>
    <mergeCell ref="C358:E358"/>
    <mergeCell ref="B338:K338"/>
    <mergeCell ref="C305:E305"/>
    <mergeCell ref="B290:K290"/>
    <mergeCell ref="C291:K291"/>
    <mergeCell ref="C298:E298"/>
    <mergeCell ref="C292:C297"/>
    <mergeCell ref="C300:C304"/>
    <mergeCell ref="C299:K299"/>
    <mergeCell ref="C323:E323"/>
    <mergeCell ref="C236:C240"/>
    <mergeCell ref="B311:K311"/>
    <mergeCell ref="C312:K312"/>
    <mergeCell ref="C315:E315"/>
    <mergeCell ref="B267:K267"/>
    <mergeCell ref="B266:E266"/>
    <mergeCell ref="B265:E265"/>
    <mergeCell ref="C250:C251"/>
    <mergeCell ref="C255:E255"/>
    <mergeCell ref="C262:C263"/>
    <mergeCell ref="B259:E259"/>
    <mergeCell ref="B247:E247"/>
    <mergeCell ref="B248:K248"/>
    <mergeCell ref="C272:K272"/>
    <mergeCell ref="B401:E401"/>
    <mergeCell ref="B414:E414"/>
    <mergeCell ref="D1:K1"/>
    <mergeCell ref="B289:E289"/>
    <mergeCell ref="B291:B309"/>
    <mergeCell ref="B124:B160"/>
    <mergeCell ref="B163:B188"/>
    <mergeCell ref="B191:B193"/>
    <mergeCell ref="B196:B198"/>
    <mergeCell ref="B201:B203"/>
    <mergeCell ref="C99:K99"/>
    <mergeCell ref="C87:C91"/>
    <mergeCell ref="C101:E101"/>
    <mergeCell ref="J3:K3"/>
    <mergeCell ref="C103:C104"/>
    <mergeCell ref="C105:E105"/>
    <mergeCell ref="C102:K102"/>
    <mergeCell ref="C288:E288"/>
    <mergeCell ref="C286:C287"/>
    <mergeCell ref="C280:C283"/>
    <mergeCell ref="C106:K112"/>
    <mergeCell ref="C252:E252"/>
    <mergeCell ref="B206:K206"/>
    <mergeCell ref="B205:E205"/>
  </mergeCells>
  <conditionalFormatting sqref="B1:K366 D369:D371 B372:K415 C368:D368 C367:I367 E368:I371 K367:K371">
    <cfRule type="containsBlanks" dxfId="7" priority="3">
      <formula>LEN(TRIM(B1))=0</formula>
    </cfRule>
  </conditionalFormatting>
  <conditionalFormatting sqref="J367:J371">
    <cfRule type="containsBlanks" dxfId="6" priority="1">
      <formula>LEN(TRIM(J367))=0</formula>
    </cfRule>
  </conditionalFormatting>
  <pageMargins left="0.15748031496062992" right="0.49" top="0.27559055118110237" bottom="0.27559055118110237" header="0.19685039370078741" footer="0.19685039370078741"/>
  <pageSetup paperSize="9" scale="63" orientation="portrait" r:id="rId1"/>
  <headerFooter>
    <oddFooter xml:space="preserve">&amp;C&amp;P+17
</oddFooter>
  </headerFooter>
  <rowBreaks count="5" manualBreakCount="5">
    <brk id="84" max="10" man="1"/>
    <brk id="161" max="10" man="1"/>
    <brk id="205" max="10" man="1"/>
    <brk id="276" max="16383" man="1"/>
    <brk id="36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B1:Q528"/>
  <sheetViews>
    <sheetView rightToLeft="1" zoomScaleNormal="100" workbookViewId="0">
      <pane ySplit="3" topLeftCell="A475" activePane="bottomLeft" state="frozen"/>
      <selection activeCell="D300" sqref="D300"/>
      <selection pane="bottomLeft" activeCell="K478" sqref="K478"/>
    </sheetView>
  </sheetViews>
  <sheetFormatPr defaultRowHeight="14.25" x14ac:dyDescent="0.2"/>
  <cols>
    <col min="1" max="1" width="8.25" customWidth="1"/>
    <col min="2" max="2" width="22.25" style="159" customWidth="1"/>
    <col min="3" max="4" width="3.25" style="21" bestFit="1" customWidth="1"/>
    <col min="5" max="5" width="7.625" style="48" hidden="1" customWidth="1"/>
    <col min="6" max="6" width="48" style="9" bestFit="1" customWidth="1"/>
    <col min="7" max="9" width="7.625" style="21" bestFit="1" customWidth="1"/>
    <col min="10" max="10" width="6.875" style="21" bestFit="1" customWidth="1"/>
    <col min="11" max="11" width="7.625" style="21" bestFit="1" customWidth="1"/>
    <col min="12" max="12" width="5.25" style="21" bestFit="1" customWidth="1"/>
    <col min="13" max="13" width="8.625" style="154" bestFit="1" customWidth="1"/>
    <col min="14" max="14" width="11.375" style="48" bestFit="1" customWidth="1"/>
    <col min="15" max="15" width="15.25" style="187" bestFit="1" customWidth="1"/>
    <col min="16" max="16" width="10.625" style="21" hidden="1" customWidth="1"/>
    <col min="17" max="17" width="9.125" customWidth="1"/>
  </cols>
  <sheetData>
    <row r="1" spans="2:16" s="198" customFormat="1" ht="21.75" x14ac:dyDescent="0.2">
      <c r="B1" s="541" t="s">
        <v>663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202"/>
      <c r="N1" s="203"/>
      <c r="O1" s="204"/>
      <c r="P1" s="216"/>
    </row>
    <row r="2" spans="2:16" s="198" customFormat="1" ht="25.5" x14ac:dyDescent="0.2">
      <c r="B2" s="544" t="s">
        <v>337</v>
      </c>
      <c r="C2" s="467" t="s">
        <v>338</v>
      </c>
      <c r="D2" s="467"/>
      <c r="E2" s="453" t="s">
        <v>339</v>
      </c>
      <c r="F2" s="506" t="s">
        <v>340</v>
      </c>
      <c r="G2" s="302" t="s">
        <v>603</v>
      </c>
      <c r="H2" s="302" t="s">
        <v>604</v>
      </c>
      <c r="I2" s="354" t="s">
        <v>605</v>
      </c>
      <c r="J2" s="302" t="s">
        <v>606</v>
      </c>
      <c r="K2" s="302" t="s">
        <v>603</v>
      </c>
      <c r="L2" s="359" t="s">
        <v>651</v>
      </c>
      <c r="M2" s="205"/>
      <c r="N2" s="48"/>
      <c r="O2" s="204"/>
      <c r="P2" s="191" t="s">
        <v>576</v>
      </c>
    </row>
    <row r="3" spans="2:16" s="198" customFormat="1" ht="12.75" x14ac:dyDescent="0.2">
      <c r="B3" s="544"/>
      <c r="C3" s="467"/>
      <c r="D3" s="467"/>
      <c r="E3" s="453"/>
      <c r="F3" s="506"/>
      <c r="G3" s="419">
        <v>2019</v>
      </c>
      <c r="H3" s="419"/>
      <c r="I3" s="419"/>
      <c r="J3" s="419"/>
      <c r="K3" s="420">
        <v>2020</v>
      </c>
      <c r="L3" s="420"/>
      <c r="N3" s="277"/>
      <c r="O3" s="224"/>
      <c r="P3" s="278">
        <v>2020</v>
      </c>
    </row>
    <row r="4" spans="2:16" s="46" customFormat="1" hidden="1" x14ac:dyDescent="0.2">
      <c r="B4" s="360"/>
      <c r="C4" s="164"/>
      <c r="D4" s="164"/>
      <c r="E4" s="164"/>
      <c r="F4" s="165"/>
      <c r="G4" s="166"/>
      <c r="H4" s="166"/>
      <c r="I4" s="167"/>
      <c r="J4" s="166"/>
      <c r="K4" s="169"/>
      <c r="L4" s="361"/>
      <c r="M4" s="116"/>
      <c r="N4" s="48"/>
      <c r="O4" s="187"/>
      <c r="P4" s="168"/>
    </row>
    <row r="5" spans="2:16" s="25" customFormat="1" x14ac:dyDescent="0.2">
      <c r="B5" s="542" t="s">
        <v>341</v>
      </c>
      <c r="C5" s="543">
        <v>1</v>
      </c>
      <c r="D5" s="543">
        <v>0</v>
      </c>
      <c r="E5" s="247">
        <v>20103001</v>
      </c>
      <c r="F5" s="6" t="s">
        <v>342</v>
      </c>
      <c r="G5" s="355">
        <v>57500</v>
      </c>
      <c r="H5" s="355">
        <v>60000</v>
      </c>
      <c r="I5" s="355">
        <v>59688.067999999999</v>
      </c>
      <c r="J5" s="355">
        <v>0</v>
      </c>
      <c r="K5" s="137">
        <v>65000</v>
      </c>
      <c r="L5" s="362">
        <f t="shared" ref="L5:L68" si="0">IFERROR(K5/G5,"")</f>
        <v>1.1304347826086956</v>
      </c>
      <c r="M5" s="161"/>
      <c r="N5" s="188"/>
      <c r="O5" s="187"/>
      <c r="P5" s="305">
        <v>0</v>
      </c>
    </row>
    <row r="6" spans="2:16" s="25" customFormat="1" x14ac:dyDescent="0.2">
      <c r="B6" s="542"/>
      <c r="C6" s="543"/>
      <c r="D6" s="543"/>
      <c r="E6" s="247">
        <v>23603001</v>
      </c>
      <c r="F6" s="6" t="s">
        <v>67</v>
      </c>
      <c r="G6" s="355">
        <v>12000</v>
      </c>
      <c r="H6" s="355">
        <v>12000</v>
      </c>
      <c r="I6" s="355">
        <v>9663.0519999999997</v>
      </c>
      <c r="J6" s="355">
        <v>1050</v>
      </c>
      <c r="K6" s="137">
        <v>12000</v>
      </c>
      <c r="L6" s="362">
        <f t="shared" si="0"/>
        <v>1</v>
      </c>
      <c r="M6" s="161"/>
      <c r="N6" s="188"/>
      <c r="O6" s="187"/>
      <c r="P6" s="305">
        <v>0</v>
      </c>
    </row>
    <row r="7" spans="2:16" s="25" customFormat="1" x14ac:dyDescent="0.2">
      <c r="B7" s="542"/>
      <c r="C7" s="543"/>
      <c r="D7" s="543"/>
      <c r="E7" s="247">
        <v>23603004</v>
      </c>
      <c r="F7" s="6" t="s">
        <v>343</v>
      </c>
      <c r="G7" s="355">
        <v>3000</v>
      </c>
      <c r="H7" s="355">
        <v>3000</v>
      </c>
      <c r="I7" s="355">
        <v>1681.2660000000001</v>
      </c>
      <c r="J7" s="355">
        <v>0</v>
      </c>
      <c r="K7" s="137">
        <v>3000</v>
      </c>
      <c r="L7" s="362">
        <f t="shared" si="0"/>
        <v>1</v>
      </c>
      <c r="M7" s="161"/>
      <c r="N7" s="188"/>
      <c r="O7" s="187"/>
      <c r="P7" s="305">
        <v>0</v>
      </c>
    </row>
    <row r="8" spans="2:16" s="25" customFormat="1" x14ac:dyDescent="0.2">
      <c r="B8" s="542"/>
      <c r="C8" s="543"/>
      <c r="D8" s="543"/>
      <c r="E8" s="538" t="s">
        <v>344</v>
      </c>
      <c r="F8" s="538"/>
      <c r="G8" s="151">
        <f>SUM(G5:G7)</f>
        <v>72500</v>
      </c>
      <c r="H8" s="151">
        <f>SUM(H5:H7)</f>
        <v>75000</v>
      </c>
      <c r="I8" s="151">
        <f>SUM(I5:I7)</f>
        <v>71032.385999999999</v>
      </c>
      <c r="J8" s="151">
        <f>SUM(J5:J7)</f>
        <v>1050</v>
      </c>
      <c r="K8" s="151">
        <f>SUM(K5:K7)</f>
        <v>80000</v>
      </c>
      <c r="L8" s="362">
        <f t="shared" si="0"/>
        <v>1.103448275862069</v>
      </c>
      <c r="M8" s="184"/>
      <c r="N8" s="188"/>
      <c r="O8" s="187"/>
      <c r="P8" s="151">
        <f t="shared" ref="P8" si="1">SUM(P5:P7)</f>
        <v>0</v>
      </c>
    </row>
    <row r="9" spans="2:16" s="25" customFormat="1" x14ac:dyDescent="0.2">
      <c r="B9" s="539" t="s">
        <v>345</v>
      </c>
      <c r="C9" s="539"/>
      <c r="D9" s="539"/>
      <c r="E9" s="539"/>
      <c r="F9" s="539"/>
      <c r="G9" s="134">
        <f t="shared" ref="G9:I9" si="2">G8</f>
        <v>72500</v>
      </c>
      <c r="H9" s="134">
        <f t="shared" si="2"/>
        <v>75000</v>
      </c>
      <c r="I9" s="134">
        <f t="shared" si="2"/>
        <v>71032.385999999999</v>
      </c>
      <c r="J9" s="134">
        <f>J8</f>
        <v>1050</v>
      </c>
      <c r="K9" s="134">
        <f>K8</f>
        <v>80000</v>
      </c>
      <c r="L9" s="362">
        <f t="shared" si="0"/>
        <v>1.103448275862069</v>
      </c>
      <c r="M9" s="184"/>
      <c r="N9" s="335"/>
      <c r="O9" s="187"/>
      <c r="P9" s="134">
        <f>P8</f>
        <v>0</v>
      </c>
    </row>
    <row r="10" spans="2:16" s="25" customFormat="1" x14ac:dyDescent="0.2">
      <c r="B10" s="542" t="s">
        <v>578</v>
      </c>
      <c r="C10" s="543">
        <v>1</v>
      </c>
      <c r="D10" s="543">
        <v>1</v>
      </c>
      <c r="E10" s="17">
        <v>20103001</v>
      </c>
      <c r="F10" s="7" t="s">
        <v>342</v>
      </c>
      <c r="G10" s="355">
        <v>95000</v>
      </c>
      <c r="H10" s="355">
        <v>87100</v>
      </c>
      <c r="I10" s="355">
        <v>84261.728000000003</v>
      </c>
      <c r="J10" s="355">
        <v>0</v>
      </c>
      <c r="K10" s="137">
        <v>135000</v>
      </c>
      <c r="L10" s="362">
        <f t="shared" si="0"/>
        <v>1.4210526315789473</v>
      </c>
      <c r="M10" s="161"/>
      <c r="N10" s="189" t="s">
        <v>527</v>
      </c>
      <c r="O10" s="187"/>
      <c r="P10" s="305">
        <v>0</v>
      </c>
    </row>
    <row r="11" spans="2:16" s="25" customFormat="1" x14ac:dyDescent="0.2">
      <c r="B11" s="542"/>
      <c r="C11" s="543"/>
      <c r="D11" s="543"/>
      <c r="E11" s="17">
        <v>21606003</v>
      </c>
      <c r="F11" s="7" t="s">
        <v>43</v>
      </c>
      <c r="G11" s="355">
        <v>500</v>
      </c>
      <c r="H11" s="355">
        <v>500</v>
      </c>
      <c r="I11" s="355">
        <v>0</v>
      </c>
      <c r="J11" s="355">
        <v>0</v>
      </c>
      <c r="K11" s="137">
        <v>500</v>
      </c>
      <c r="L11" s="362">
        <f t="shared" si="0"/>
        <v>1</v>
      </c>
      <c r="M11" s="161"/>
      <c r="N11" s="188"/>
      <c r="O11" s="187"/>
      <c r="P11" s="305">
        <v>2000</v>
      </c>
    </row>
    <row r="12" spans="2:16" s="25" customFormat="1" x14ac:dyDescent="0.2">
      <c r="B12" s="542"/>
      <c r="C12" s="543"/>
      <c r="D12" s="543"/>
      <c r="E12" s="17">
        <v>23603002</v>
      </c>
      <c r="F12" s="7" t="s">
        <v>68</v>
      </c>
      <c r="G12" s="355">
        <v>75</v>
      </c>
      <c r="H12" s="355">
        <v>75</v>
      </c>
      <c r="I12" s="355">
        <v>70</v>
      </c>
      <c r="J12" s="355">
        <v>0</v>
      </c>
      <c r="K12" s="137">
        <v>75</v>
      </c>
      <c r="L12" s="362">
        <f t="shared" si="0"/>
        <v>1</v>
      </c>
      <c r="M12" s="161"/>
      <c r="N12" s="188"/>
      <c r="O12" s="187"/>
      <c r="P12" s="305">
        <v>50</v>
      </c>
    </row>
    <row r="13" spans="2:16" s="25" customFormat="1" x14ac:dyDescent="0.2">
      <c r="B13" s="542"/>
      <c r="C13" s="543"/>
      <c r="D13" s="543"/>
      <c r="E13" s="123">
        <v>23605001</v>
      </c>
      <c r="F13" s="60" t="s">
        <v>70</v>
      </c>
      <c r="G13" s="355"/>
      <c r="H13" s="355"/>
      <c r="I13" s="355"/>
      <c r="J13" s="355"/>
      <c r="K13" s="137">
        <v>10000</v>
      </c>
      <c r="L13" s="362" t="str">
        <f t="shared" si="0"/>
        <v/>
      </c>
      <c r="M13" s="161"/>
      <c r="N13" s="189" t="s">
        <v>527</v>
      </c>
      <c r="O13" s="187"/>
      <c r="P13" s="132"/>
    </row>
    <row r="14" spans="2:16" s="25" customFormat="1" x14ac:dyDescent="0.2">
      <c r="B14" s="542"/>
      <c r="C14" s="543"/>
      <c r="D14" s="543"/>
      <c r="E14" s="123">
        <v>23605002</v>
      </c>
      <c r="F14" s="60" t="s">
        <v>484</v>
      </c>
      <c r="G14" s="355"/>
      <c r="H14" s="355"/>
      <c r="I14" s="355"/>
      <c r="J14" s="355"/>
      <c r="K14" s="137">
        <v>1000</v>
      </c>
      <c r="L14" s="362" t="str">
        <f t="shared" si="0"/>
        <v/>
      </c>
      <c r="M14" s="161"/>
      <c r="N14" s="189" t="s">
        <v>527</v>
      </c>
      <c r="O14" s="187"/>
      <c r="P14" s="132"/>
    </row>
    <row r="15" spans="2:16" s="25" customFormat="1" x14ac:dyDescent="0.2">
      <c r="B15" s="542"/>
      <c r="C15" s="543"/>
      <c r="D15" s="543"/>
      <c r="E15" s="538" t="s">
        <v>344</v>
      </c>
      <c r="F15" s="538"/>
      <c r="G15" s="151">
        <f>SUM(G10:G14)</f>
        <v>95575</v>
      </c>
      <c r="H15" s="151">
        <f t="shared" ref="H15:K15" si="3">SUM(H10:H14)</f>
        <v>87675</v>
      </c>
      <c r="I15" s="151">
        <f t="shared" si="3"/>
        <v>84331.728000000003</v>
      </c>
      <c r="J15" s="151">
        <f>SUM(J10:J14)</f>
        <v>0</v>
      </c>
      <c r="K15" s="151">
        <f t="shared" si="3"/>
        <v>146575</v>
      </c>
      <c r="L15" s="362">
        <f t="shared" si="0"/>
        <v>1.5336123463248756</v>
      </c>
      <c r="M15" s="184"/>
      <c r="N15" s="188"/>
      <c r="O15" s="187"/>
      <c r="P15" s="151">
        <f>SUM(P10:P14)</f>
        <v>2050</v>
      </c>
    </row>
    <row r="16" spans="2:16" s="25" customFormat="1" x14ac:dyDescent="0.2">
      <c r="B16" s="542"/>
      <c r="C16" s="543"/>
      <c r="D16" s="543"/>
      <c r="E16" s="17">
        <v>25401007</v>
      </c>
      <c r="F16" s="7" t="s">
        <v>104</v>
      </c>
      <c r="G16" s="355"/>
      <c r="H16" s="355"/>
      <c r="I16" s="355"/>
      <c r="J16" s="355"/>
      <c r="K16" s="137">
        <v>500</v>
      </c>
      <c r="L16" s="362" t="str">
        <f t="shared" si="0"/>
        <v/>
      </c>
      <c r="M16" s="161"/>
      <c r="N16" s="189" t="s">
        <v>527</v>
      </c>
      <c r="O16" s="187"/>
      <c r="P16" s="5"/>
    </row>
    <row r="17" spans="2:17" s="25" customFormat="1" x14ac:dyDescent="0.2">
      <c r="B17" s="542"/>
      <c r="C17" s="543"/>
      <c r="D17" s="543"/>
      <c r="E17" s="439" t="s">
        <v>346</v>
      </c>
      <c r="F17" s="439"/>
      <c r="G17" s="144">
        <f>SUM(G16)</f>
        <v>0</v>
      </c>
      <c r="H17" s="144">
        <f>SUM(H16)</f>
        <v>0</v>
      </c>
      <c r="I17" s="144">
        <f t="shared" ref="I17" si="4">SUM(I16)</f>
        <v>0</v>
      </c>
      <c r="J17" s="144">
        <f>SUM(J16)</f>
        <v>0</v>
      </c>
      <c r="K17" s="144">
        <f>SUM(K16)</f>
        <v>500</v>
      </c>
      <c r="L17" s="362" t="str">
        <f t="shared" si="0"/>
        <v/>
      </c>
      <c r="M17" s="184"/>
      <c r="N17" s="188"/>
      <c r="O17" s="187"/>
      <c r="P17" s="144">
        <f>SUM(P16)</f>
        <v>0</v>
      </c>
    </row>
    <row r="18" spans="2:17" s="25" customFormat="1" x14ac:dyDescent="0.2">
      <c r="B18" s="542"/>
      <c r="C18" s="543"/>
      <c r="D18" s="543"/>
      <c r="E18" s="123">
        <v>26201053</v>
      </c>
      <c r="F18" s="60" t="s">
        <v>509</v>
      </c>
      <c r="G18" s="355"/>
      <c r="H18" s="355"/>
      <c r="I18" s="355"/>
      <c r="J18" s="355"/>
      <c r="K18" s="137">
        <v>9500</v>
      </c>
      <c r="L18" s="362" t="str">
        <f t="shared" si="0"/>
        <v/>
      </c>
      <c r="M18" s="161"/>
      <c r="N18" s="189" t="s">
        <v>527</v>
      </c>
      <c r="O18" s="187"/>
      <c r="P18" s="132"/>
    </row>
    <row r="19" spans="2:17" s="25" customFormat="1" x14ac:dyDescent="0.2">
      <c r="B19" s="542"/>
      <c r="C19" s="543"/>
      <c r="D19" s="543"/>
      <c r="E19" s="123">
        <v>26302004</v>
      </c>
      <c r="F19" s="60" t="s">
        <v>6</v>
      </c>
      <c r="G19" s="355"/>
      <c r="H19" s="355"/>
      <c r="I19" s="355"/>
      <c r="J19" s="355"/>
      <c r="K19" s="137">
        <v>1000</v>
      </c>
      <c r="L19" s="362" t="str">
        <f t="shared" si="0"/>
        <v/>
      </c>
      <c r="M19" s="161"/>
      <c r="N19" s="189" t="s">
        <v>527</v>
      </c>
      <c r="O19" s="187"/>
      <c r="P19" s="132"/>
    </row>
    <row r="20" spans="2:17" s="25" customFormat="1" x14ac:dyDescent="0.2">
      <c r="B20" s="542"/>
      <c r="C20" s="543"/>
      <c r="D20" s="543"/>
      <c r="E20" s="247">
        <v>26402005</v>
      </c>
      <c r="F20" s="6" t="s">
        <v>317</v>
      </c>
      <c r="G20" s="355">
        <v>7000</v>
      </c>
      <c r="H20" s="355">
        <v>7000</v>
      </c>
      <c r="I20" s="355">
        <v>0</v>
      </c>
      <c r="J20" s="355">
        <v>0</v>
      </c>
      <c r="K20" s="137">
        <v>5000</v>
      </c>
      <c r="L20" s="362">
        <f t="shared" si="0"/>
        <v>0.7142857142857143</v>
      </c>
      <c r="M20" s="161"/>
      <c r="N20" s="188"/>
      <c r="O20" s="187"/>
      <c r="P20" s="305">
        <v>5000</v>
      </c>
      <c r="Q20" s="274"/>
    </row>
    <row r="21" spans="2:17" s="25" customFormat="1" x14ac:dyDescent="0.2">
      <c r="B21" s="542"/>
      <c r="C21" s="543"/>
      <c r="D21" s="543"/>
      <c r="E21" s="459" t="s">
        <v>347</v>
      </c>
      <c r="F21" s="459"/>
      <c r="G21" s="138">
        <f>SUM(G18:G20)</f>
        <v>7000</v>
      </c>
      <c r="H21" s="138">
        <f t="shared" ref="H21:K21" si="5">SUM(H18:H20)</f>
        <v>7000</v>
      </c>
      <c r="I21" s="138">
        <f t="shared" si="5"/>
        <v>0</v>
      </c>
      <c r="J21" s="138">
        <f>SUM(J18:J20)</f>
        <v>0</v>
      </c>
      <c r="K21" s="138">
        <f t="shared" si="5"/>
        <v>15500</v>
      </c>
      <c r="L21" s="362">
        <f t="shared" si="0"/>
        <v>2.2142857142857144</v>
      </c>
      <c r="M21" s="184"/>
      <c r="N21" s="188"/>
      <c r="O21" s="187"/>
      <c r="P21" s="138">
        <f>SUM(P18:P20)</f>
        <v>5000</v>
      </c>
    </row>
    <row r="22" spans="2:17" s="25" customFormat="1" x14ac:dyDescent="0.2">
      <c r="B22" s="539" t="s">
        <v>345</v>
      </c>
      <c r="C22" s="539"/>
      <c r="D22" s="539"/>
      <c r="E22" s="539"/>
      <c r="F22" s="539"/>
      <c r="G22" s="134">
        <f>G15+G17+G21</f>
        <v>102575</v>
      </c>
      <c r="H22" s="134">
        <f t="shared" ref="H22:K22" si="6">H15+H17+H21</f>
        <v>94675</v>
      </c>
      <c r="I22" s="134">
        <f t="shared" si="6"/>
        <v>84331.728000000003</v>
      </c>
      <c r="J22" s="134">
        <f>J15+J17+J21</f>
        <v>0</v>
      </c>
      <c r="K22" s="134">
        <f t="shared" si="6"/>
        <v>162575</v>
      </c>
      <c r="L22" s="362">
        <f t="shared" si="0"/>
        <v>1.5849378503534</v>
      </c>
      <c r="M22" s="184"/>
      <c r="N22" s="188"/>
      <c r="O22" s="187"/>
      <c r="P22" s="134">
        <f>P15+P17+P21</f>
        <v>7050</v>
      </c>
    </row>
    <row r="23" spans="2:17" s="25" customFormat="1" x14ac:dyDescent="0.2">
      <c r="B23" s="542" t="s">
        <v>348</v>
      </c>
      <c r="C23" s="543">
        <v>1</v>
      </c>
      <c r="D23" s="543">
        <v>2</v>
      </c>
      <c r="E23" s="17">
        <v>20103001</v>
      </c>
      <c r="F23" s="7" t="s">
        <v>342</v>
      </c>
      <c r="G23" s="355">
        <v>115000</v>
      </c>
      <c r="H23" s="355">
        <v>107940</v>
      </c>
      <c r="I23" s="355">
        <v>105290.247</v>
      </c>
      <c r="J23" s="355">
        <v>0</v>
      </c>
      <c r="K23" s="137">
        <v>112000</v>
      </c>
      <c r="L23" s="362">
        <f t="shared" si="0"/>
        <v>0.97391304347826091</v>
      </c>
      <c r="M23" s="161"/>
      <c r="N23" s="188"/>
      <c r="O23" s="187"/>
      <c r="P23" s="305">
        <v>0</v>
      </c>
    </row>
    <row r="24" spans="2:17" s="25" customFormat="1" x14ac:dyDescent="0.2">
      <c r="B24" s="542"/>
      <c r="C24" s="543"/>
      <c r="D24" s="543"/>
      <c r="E24" s="17">
        <v>23603002</v>
      </c>
      <c r="F24" s="7" t="s">
        <v>68</v>
      </c>
      <c r="G24" s="355">
        <v>75</v>
      </c>
      <c r="H24" s="355">
        <v>75</v>
      </c>
      <c r="I24" s="355">
        <v>49.75</v>
      </c>
      <c r="J24" s="355">
        <v>0</v>
      </c>
      <c r="K24" s="137">
        <v>75</v>
      </c>
      <c r="L24" s="362">
        <f t="shared" si="0"/>
        <v>1</v>
      </c>
      <c r="M24" s="161"/>
      <c r="N24" s="188"/>
      <c r="O24" s="187"/>
      <c r="P24" s="305">
        <v>0</v>
      </c>
    </row>
    <row r="25" spans="2:17" s="25" customFormat="1" x14ac:dyDescent="0.2">
      <c r="B25" s="542"/>
      <c r="C25" s="543"/>
      <c r="D25" s="543"/>
      <c r="E25" s="538" t="s">
        <v>344</v>
      </c>
      <c r="F25" s="538"/>
      <c r="G25" s="151">
        <f t="shared" ref="G25:H25" si="7">SUM(G23:G24)</f>
        <v>115075</v>
      </c>
      <c r="H25" s="151">
        <f t="shared" si="7"/>
        <v>108015</v>
      </c>
      <c r="I25" s="151">
        <f>SUM(I23:I24)</f>
        <v>105339.997</v>
      </c>
      <c r="J25" s="151">
        <f>SUM(J23:J24)</f>
        <v>0</v>
      </c>
      <c r="K25" s="151">
        <f>SUM(K23:K24)</f>
        <v>112075</v>
      </c>
      <c r="L25" s="362">
        <f t="shared" si="0"/>
        <v>0.97393004562242014</v>
      </c>
      <c r="M25" s="184"/>
      <c r="N25" s="188"/>
      <c r="O25" s="187"/>
      <c r="P25" s="151">
        <f>SUM(P23:P24)</f>
        <v>0</v>
      </c>
    </row>
    <row r="26" spans="2:17" s="25" customFormat="1" x14ac:dyDescent="0.2">
      <c r="B26" s="539" t="s">
        <v>345</v>
      </c>
      <c r="C26" s="539"/>
      <c r="D26" s="539"/>
      <c r="E26" s="539"/>
      <c r="F26" s="539"/>
      <c r="G26" s="134">
        <f t="shared" ref="G26:I26" si="8">G25</f>
        <v>115075</v>
      </c>
      <c r="H26" s="134">
        <f t="shared" si="8"/>
        <v>108015</v>
      </c>
      <c r="I26" s="134">
        <f t="shared" si="8"/>
        <v>105339.997</v>
      </c>
      <c r="J26" s="134">
        <f>J25</f>
        <v>0</v>
      </c>
      <c r="K26" s="134">
        <f>K25</f>
        <v>112075</v>
      </c>
      <c r="L26" s="362">
        <f t="shared" si="0"/>
        <v>0.97393004562242014</v>
      </c>
      <c r="M26" s="184"/>
      <c r="N26" s="188"/>
      <c r="O26" s="187"/>
      <c r="P26" s="134">
        <f>P25</f>
        <v>0</v>
      </c>
    </row>
    <row r="27" spans="2:17" s="25" customFormat="1" x14ac:dyDescent="0.2">
      <c r="B27" s="545" t="s">
        <v>349</v>
      </c>
      <c r="C27" s="546">
        <v>1</v>
      </c>
      <c r="D27" s="546">
        <v>3</v>
      </c>
      <c r="E27" s="17">
        <v>20103001</v>
      </c>
      <c r="F27" s="7" t="s">
        <v>342</v>
      </c>
      <c r="G27" s="355">
        <v>47000</v>
      </c>
      <c r="H27" s="355">
        <v>47000</v>
      </c>
      <c r="I27" s="355">
        <v>46128.296999999999</v>
      </c>
      <c r="J27" s="355">
        <v>0</v>
      </c>
      <c r="K27" s="137">
        <v>50000</v>
      </c>
      <c r="L27" s="362">
        <f t="shared" si="0"/>
        <v>1.0638297872340425</v>
      </c>
      <c r="M27" s="161"/>
      <c r="N27" s="188"/>
      <c r="O27" s="187"/>
      <c r="P27" s="305">
        <v>0</v>
      </c>
    </row>
    <row r="28" spans="2:17" s="25" customFormat="1" x14ac:dyDescent="0.2">
      <c r="B28" s="545"/>
      <c r="C28" s="546"/>
      <c r="D28" s="546"/>
      <c r="E28" s="17">
        <v>23603002</v>
      </c>
      <c r="F28" s="7" t="s">
        <v>68</v>
      </c>
      <c r="G28" s="355">
        <v>75</v>
      </c>
      <c r="H28" s="355">
        <v>75</v>
      </c>
      <c r="I28" s="355">
        <v>74.599999999999994</v>
      </c>
      <c r="J28" s="355">
        <v>0</v>
      </c>
      <c r="K28" s="137">
        <v>75</v>
      </c>
      <c r="L28" s="362">
        <f t="shared" si="0"/>
        <v>1</v>
      </c>
      <c r="M28" s="161"/>
      <c r="N28" s="188"/>
      <c r="O28" s="187"/>
      <c r="P28" s="305">
        <v>0</v>
      </c>
    </row>
    <row r="29" spans="2:17" s="25" customFormat="1" x14ac:dyDescent="0.2">
      <c r="B29" s="545"/>
      <c r="C29" s="546"/>
      <c r="D29" s="546"/>
      <c r="E29" s="538" t="s">
        <v>344</v>
      </c>
      <c r="F29" s="538"/>
      <c r="G29" s="151">
        <f t="shared" ref="G29:H29" si="9">SUM(G27:G28)</f>
        <v>47075</v>
      </c>
      <c r="H29" s="151">
        <f t="shared" si="9"/>
        <v>47075</v>
      </c>
      <c r="I29" s="151">
        <f>SUM(I27:I28)</f>
        <v>46202.896999999997</v>
      </c>
      <c r="J29" s="151">
        <f>SUM(J27:J28)</f>
        <v>0</v>
      </c>
      <c r="K29" s="151">
        <f>SUM(K27:K28)</f>
        <v>50075</v>
      </c>
      <c r="L29" s="362">
        <f t="shared" si="0"/>
        <v>1.0637280934678703</v>
      </c>
      <c r="M29" s="184"/>
      <c r="N29" s="188"/>
      <c r="O29" s="187"/>
      <c r="P29" s="151">
        <f>SUM(P27:P28)</f>
        <v>0</v>
      </c>
    </row>
    <row r="30" spans="2:17" s="25" customFormat="1" x14ac:dyDescent="0.2">
      <c r="B30" s="545"/>
      <c r="C30" s="546"/>
      <c r="D30" s="546"/>
      <c r="E30" s="17">
        <v>25101011</v>
      </c>
      <c r="F30" s="7" t="s">
        <v>102</v>
      </c>
      <c r="G30" s="355">
        <v>30000</v>
      </c>
      <c r="H30" s="355">
        <v>30000</v>
      </c>
      <c r="I30" s="355">
        <v>25562.806</v>
      </c>
      <c r="J30" s="355">
        <v>0</v>
      </c>
      <c r="K30" s="137">
        <v>30000</v>
      </c>
      <c r="L30" s="362">
        <f t="shared" si="0"/>
        <v>1</v>
      </c>
      <c r="M30" s="161"/>
      <c r="N30" s="188"/>
      <c r="O30" s="187"/>
      <c r="P30" s="305">
        <v>30000</v>
      </c>
    </row>
    <row r="31" spans="2:17" s="25" customFormat="1" x14ac:dyDescent="0.2">
      <c r="B31" s="545"/>
      <c r="C31" s="546"/>
      <c r="D31" s="546"/>
      <c r="E31" s="439" t="s">
        <v>346</v>
      </c>
      <c r="F31" s="439"/>
      <c r="G31" s="144">
        <f t="shared" ref="G31:I31" si="10">SUM(G30:G30)</f>
        <v>30000</v>
      </c>
      <c r="H31" s="144">
        <f t="shared" si="10"/>
        <v>30000</v>
      </c>
      <c r="I31" s="144">
        <f t="shared" si="10"/>
        <v>25562.806</v>
      </c>
      <c r="J31" s="144">
        <f>SUM(J30:J30)</f>
        <v>0</v>
      </c>
      <c r="K31" s="144">
        <f>SUM(K30:K30)</f>
        <v>30000</v>
      </c>
      <c r="L31" s="362">
        <f t="shared" si="0"/>
        <v>1</v>
      </c>
      <c r="M31" s="184"/>
      <c r="N31" s="188"/>
      <c r="O31" s="187"/>
      <c r="P31" s="144">
        <f>SUM(P30:P30)</f>
        <v>30000</v>
      </c>
    </row>
    <row r="32" spans="2:17" s="25" customFormat="1" x14ac:dyDescent="0.2">
      <c r="B32" s="539" t="s">
        <v>345</v>
      </c>
      <c r="C32" s="539"/>
      <c r="D32" s="539"/>
      <c r="E32" s="539"/>
      <c r="F32" s="539"/>
      <c r="G32" s="134">
        <f t="shared" ref="G32:I32" si="11">G29+G31</f>
        <v>77075</v>
      </c>
      <c r="H32" s="134">
        <f t="shared" si="11"/>
        <v>77075</v>
      </c>
      <c r="I32" s="134">
        <f t="shared" si="11"/>
        <v>71765.702999999994</v>
      </c>
      <c r="J32" s="134">
        <f>J29+J31</f>
        <v>0</v>
      </c>
      <c r="K32" s="134">
        <f>K29+K31</f>
        <v>80075</v>
      </c>
      <c r="L32" s="362">
        <f t="shared" si="0"/>
        <v>1.0389231268245216</v>
      </c>
      <c r="M32" s="184"/>
      <c r="N32" s="188"/>
      <c r="O32" s="187"/>
      <c r="P32" s="134">
        <f>P29+P31</f>
        <v>30000</v>
      </c>
    </row>
    <row r="33" spans="2:16" s="25" customFormat="1" x14ac:dyDescent="0.2">
      <c r="B33" s="545" t="s">
        <v>350</v>
      </c>
      <c r="C33" s="546">
        <v>1</v>
      </c>
      <c r="D33" s="546">
        <v>4</v>
      </c>
      <c r="E33" s="17">
        <v>20103001</v>
      </c>
      <c r="F33" s="7" t="s">
        <v>342</v>
      </c>
      <c r="G33" s="355">
        <v>35000</v>
      </c>
      <c r="H33" s="355">
        <v>35000</v>
      </c>
      <c r="I33" s="355">
        <v>34745.347000000002</v>
      </c>
      <c r="J33" s="355">
        <v>0</v>
      </c>
      <c r="K33" s="137">
        <v>40000</v>
      </c>
      <c r="L33" s="362">
        <f t="shared" si="0"/>
        <v>1.1428571428571428</v>
      </c>
      <c r="M33" s="161"/>
      <c r="N33" s="188"/>
      <c r="O33" s="187"/>
      <c r="P33" s="305">
        <v>0</v>
      </c>
    </row>
    <row r="34" spans="2:16" s="25" customFormat="1" x14ac:dyDescent="0.2">
      <c r="B34" s="545"/>
      <c r="C34" s="546"/>
      <c r="D34" s="546"/>
      <c r="E34" s="17">
        <v>23603002</v>
      </c>
      <c r="F34" s="7" t="s">
        <v>68</v>
      </c>
      <c r="G34" s="355">
        <v>75</v>
      </c>
      <c r="H34" s="355">
        <v>75</v>
      </c>
      <c r="I34" s="355">
        <v>0</v>
      </c>
      <c r="J34" s="355">
        <v>37.5</v>
      </c>
      <c r="K34" s="137">
        <v>75</v>
      </c>
      <c r="L34" s="362">
        <f t="shared" si="0"/>
        <v>1</v>
      </c>
      <c r="M34" s="161"/>
      <c r="N34" s="188"/>
      <c r="O34" s="187"/>
      <c r="P34" s="305">
        <v>75</v>
      </c>
    </row>
    <row r="35" spans="2:16" s="25" customFormat="1" x14ac:dyDescent="0.2">
      <c r="B35" s="545"/>
      <c r="C35" s="546"/>
      <c r="D35" s="546"/>
      <c r="E35" s="538" t="s">
        <v>344</v>
      </c>
      <c r="F35" s="538"/>
      <c r="G35" s="151">
        <f t="shared" ref="G35:K35" si="12">SUM(G33:G34)</f>
        <v>35075</v>
      </c>
      <c r="H35" s="151">
        <f t="shared" si="12"/>
        <v>35075</v>
      </c>
      <c r="I35" s="151">
        <f>SUM(I33:I34)</f>
        <v>34745.347000000002</v>
      </c>
      <c r="J35" s="151">
        <f>SUM(J33:J34)</f>
        <v>37.5</v>
      </c>
      <c r="K35" s="151">
        <f t="shared" si="12"/>
        <v>40075</v>
      </c>
      <c r="L35" s="362">
        <f t="shared" si="0"/>
        <v>1.1425516749821811</v>
      </c>
      <c r="M35" s="184"/>
      <c r="N35" s="188"/>
      <c r="O35" s="187"/>
      <c r="P35" s="151">
        <f>SUM(P33:P34)</f>
        <v>75</v>
      </c>
    </row>
    <row r="36" spans="2:16" s="25" customFormat="1" x14ac:dyDescent="0.2">
      <c r="B36" s="539" t="s">
        <v>345</v>
      </c>
      <c r="C36" s="539"/>
      <c r="D36" s="539"/>
      <c r="E36" s="539"/>
      <c r="F36" s="539"/>
      <c r="G36" s="134">
        <f>G35</f>
        <v>35075</v>
      </c>
      <c r="H36" s="134">
        <f t="shared" ref="H36:I36" si="13">H35</f>
        <v>35075</v>
      </c>
      <c r="I36" s="134">
        <f t="shared" si="13"/>
        <v>34745.347000000002</v>
      </c>
      <c r="J36" s="134">
        <f>J35</f>
        <v>37.5</v>
      </c>
      <c r="K36" s="134">
        <f>K35</f>
        <v>40075</v>
      </c>
      <c r="L36" s="362">
        <f t="shared" si="0"/>
        <v>1.1425516749821811</v>
      </c>
      <c r="M36" s="184"/>
      <c r="N36" s="188"/>
      <c r="O36" s="187"/>
      <c r="P36" s="134">
        <f>P35</f>
        <v>75</v>
      </c>
    </row>
    <row r="37" spans="2:16" s="25" customFormat="1" x14ac:dyDescent="0.2">
      <c r="B37" s="545" t="s">
        <v>579</v>
      </c>
      <c r="C37" s="552">
        <v>1</v>
      </c>
      <c r="D37" s="552">
        <v>9</v>
      </c>
      <c r="E37" s="124">
        <v>20103001</v>
      </c>
      <c r="F37" s="66" t="s">
        <v>342</v>
      </c>
      <c r="G37" s="355">
        <v>33500</v>
      </c>
      <c r="H37" s="355">
        <v>47050</v>
      </c>
      <c r="I37" s="355">
        <v>45561.629000000001</v>
      </c>
      <c r="J37" s="355">
        <v>0</v>
      </c>
      <c r="K37" s="230"/>
      <c r="L37" s="362">
        <f t="shared" si="0"/>
        <v>0</v>
      </c>
      <c r="M37" s="161"/>
      <c r="N37" s="188"/>
      <c r="O37" s="187"/>
      <c r="P37" s="119">
        <v>0</v>
      </c>
    </row>
    <row r="38" spans="2:16" s="25" customFormat="1" x14ac:dyDescent="0.2">
      <c r="B38" s="545"/>
      <c r="C38" s="552"/>
      <c r="D38" s="552"/>
      <c r="E38" s="124">
        <v>23603002</v>
      </c>
      <c r="F38" s="66" t="s">
        <v>68</v>
      </c>
      <c r="G38" s="355">
        <v>75</v>
      </c>
      <c r="H38" s="355">
        <v>75</v>
      </c>
      <c r="I38" s="355">
        <v>75</v>
      </c>
      <c r="J38" s="355">
        <v>0</v>
      </c>
      <c r="K38" s="230"/>
      <c r="L38" s="362">
        <f t="shared" si="0"/>
        <v>0</v>
      </c>
      <c r="M38" s="161"/>
      <c r="N38" s="188"/>
      <c r="O38" s="187"/>
      <c r="P38" s="119">
        <v>100</v>
      </c>
    </row>
    <row r="39" spans="2:16" s="25" customFormat="1" x14ac:dyDescent="0.2">
      <c r="B39" s="545"/>
      <c r="C39" s="552"/>
      <c r="D39" s="552"/>
      <c r="E39" s="124">
        <v>23605001</v>
      </c>
      <c r="F39" s="66" t="s">
        <v>70</v>
      </c>
      <c r="G39" s="355">
        <v>10000</v>
      </c>
      <c r="H39" s="355">
        <v>10000</v>
      </c>
      <c r="I39" s="355">
        <v>5830.2690000000002</v>
      </c>
      <c r="J39" s="355">
        <v>0</v>
      </c>
      <c r="K39" s="230"/>
      <c r="L39" s="362">
        <f t="shared" si="0"/>
        <v>0</v>
      </c>
      <c r="M39" s="161"/>
      <c r="N39" s="188"/>
      <c r="O39" s="187"/>
      <c r="P39" s="119">
        <v>4000</v>
      </c>
    </row>
    <row r="40" spans="2:16" s="25" customFormat="1" x14ac:dyDescent="0.2">
      <c r="B40" s="545"/>
      <c r="C40" s="552"/>
      <c r="D40" s="552"/>
      <c r="E40" s="124">
        <v>23605002</v>
      </c>
      <c r="F40" s="66" t="s">
        <v>484</v>
      </c>
      <c r="G40" s="355">
        <v>4000</v>
      </c>
      <c r="H40" s="355">
        <v>4000</v>
      </c>
      <c r="I40" s="355">
        <v>315.5</v>
      </c>
      <c r="J40" s="355">
        <v>0</v>
      </c>
      <c r="K40" s="230"/>
      <c r="L40" s="362">
        <f t="shared" si="0"/>
        <v>0</v>
      </c>
      <c r="M40" s="161"/>
      <c r="N40" s="188"/>
      <c r="O40" s="187"/>
      <c r="P40" s="119">
        <v>300</v>
      </c>
    </row>
    <row r="41" spans="2:16" s="25" customFormat="1" x14ac:dyDescent="0.2">
      <c r="B41" s="545"/>
      <c r="C41" s="552"/>
      <c r="D41" s="552"/>
      <c r="E41" s="538" t="s">
        <v>344</v>
      </c>
      <c r="F41" s="538"/>
      <c r="G41" s="151">
        <f t="shared" ref="G41:H41" si="14">SUM(G37:G40)</f>
        <v>47575</v>
      </c>
      <c r="H41" s="151">
        <f t="shared" si="14"/>
        <v>61125</v>
      </c>
      <c r="I41" s="151">
        <f>SUM(I37:I40)</f>
        <v>51782.398000000001</v>
      </c>
      <c r="J41" s="151">
        <f>SUM(J37:J40)</f>
        <v>0</v>
      </c>
      <c r="K41" s="151">
        <f>SUM(K37:K40)</f>
        <v>0</v>
      </c>
      <c r="L41" s="362">
        <f t="shared" si="0"/>
        <v>0</v>
      </c>
      <c r="M41" s="184"/>
      <c r="N41" s="188"/>
      <c r="O41" s="187"/>
      <c r="P41" s="151">
        <f>SUM(P37:P40)</f>
        <v>4400</v>
      </c>
    </row>
    <row r="42" spans="2:16" s="25" customFormat="1" x14ac:dyDescent="0.2">
      <c r="B42" s="545"/>
      <c r="C42" s="552"/>
      <c r="D42" s="552"/>
      <c r="E42" s="124">
        <v>25401007</v>
      </c>
      <c r="F42" s="66" t="s">
        <v>104</v>
      </c>
      <c r="G42" s="355">
        <v>1000</v>
      </c>
      <c r="H42" s="355">
        <v>1000</v>
      </c>
      <c r="I42" s="355">
        <v>0</v>
      </c>
      <c r="J42" s="355">
        <v>0</v>
      </c>
      <c r="K42" s="230"/>
      <c r="L42" s="362">
        <f t="shared" si="0"/>
        <v>0</v>
      </c>
      <c r="M42" s="161"/>
      <c r="N42" s="188"/>
      <c r="O42" s="187"/>
      <c r="P42" s="119">
        <v>0</v>
      </c>
    </row>
    <row r="43" spans="2:16" s="25" customFormat="1" x14ac:dyDescent="0.2">
      <c r="B43" s="545"/>
      <c r="C43" s="552"/>
      <c r="D43" s="552"/>
      <c r="E43" s="439" t="s">
        <v>346</v>
      </c>
      <c r="F43" s="439"/>
      <c r="G43" s="144">
        <f t="shared" ref="G43" si="15">SUM(G42)</f>
        <v>1000</v>
      </c>
      <c r="H43" s="144">
        <f>SUM(H42)</f>
        <v>1000</v>
      </c>
      <c r="I43" s="144">
        <f t="shared" ref="I43" si="16">SUM(I42)</f>
        <v>0</v>
      </c>
      <c r="J43" s="144">
        <f>SUM(J42)</f>
        <v>0</v>
      </c>
      <c r="K43" s="144">
        <f>SUM(K42)</f>
        <v>0</v>
      </c>
      <c r="L43" s="362">
        <f t="shared" si="0"/>
        <v>0</v>
      </c>
      <c r="M43" s="184"/>
      <c r="N43" s="188"/>
      <c r="O43" s="187"/>
      <c r="P43" s="144">
        <f>SUM(P42)</f>
        <v>0</v>
      </c>
    </row>
    <row r="44" spans="2:16" s="25" customFormat="1" x14ac:dyDescent="0.2">
      <c r="B44" s="545"/>
      <c r="C44" s="552"/>
      <c r="D44" s="552"/>
      <c r="E44" s="124">
        <v>26201053</v>
      </c>
      <c r="F44" s="66" t="s">
        <v>509</v>
      </c>
      <c r="G44" s="355">
        <v>16000</v>
      </c>
      <c r="H44" s="355">
        <v>16000</v>
      </c>
      <c r="I44" s="355">
        <v>0</v>
      </c>
      <c r="J44" s="355">
        <v>0</v>
      </c>
      <c r="K44" s="230"/>
      <c r="L44" s="362">
        <f t="shared" si="0"/>
        <v>0</v>
      </c>
      <c r="M44" s="161"/>
      <c r="N44" s="188"/>
      <c r="O44" s="187"/>
      <c r="P44" s="119">
        <v>9500</v>
      </c>
    </row>
    <row r="45" spans="2:16" s="25" customFormat="1" x14ac:dyDescent="0.2">
      <c r="B45" s="545"/>
      <c r="C45" s="552"/>
      <c r="D45" s="552"/>
      <c r="E45" s="124">
        <v>26302004</v>
      </c>
      <c r="F45" s="66" t="s">
        <v>6</v>
      </c>
      <c r="G45" s="355">
        <v>25000</v>
      </c>
      <c r="H45" s="355">
        <v>25000</v>
      </c>
      <c r="I45" s="355">
        <v>0</v>
      </c>
      <c r="J45" s="355">
        <v>0</v>
      </c>
      <c r="K45" s="230"/>
      <c r="L45" s="362">
        <f t="shared" si="0"/>
        <v>0</v>
      </c>
      <c r="M45" s="161"/>
      <c r="N45" s="188"/>
      <c r="O45" s="187"/>
      <c r="P45" s="119">
        <v>1000</v>
      </c>
    </row>
    <row r="46" spans="2:16" s="25" customFormat="1" x14ac:dyDescent="0.2">
      <c r="B46" s="545"/>
      <c r="C46" s="552"/>
      <c r="D46" s="552"/>
      <c r="E46" s="459" t="s">
        <v>347</v>
      </c>
      <c r="F46" s="459"/>
      <c r="G46" s="138">
        <f>SUM(G44:G45)</f>
        <v>41000</v>
      </c>
      <c r="H46" s="138">
        <f t="shared" ref="H46:I46" si="17">SUM(H44:H45)</f>
        <v>41000</v>
      </c>
      <c r="I46" s="138">
        <f t="shared" si="17"/>
        <v>0</v>
      </c>
      <c r="J46" s="138">
        <f>SUM(J44:J45)</f>
        <v>0</v>
      </c>
      <c r="K46" s="138">
        <f>SUM(K44:K45)</f>
        <v>0</v>
      </c>
      <c r="L46" s="362">
        <f t="shared" si="0"/>
        <v>0</v>
      </c>
      <c r="M46" s="184"/>
      <c r="N46" s="188"/>
      <c r="O46" s="187"/>
      <c r="P46" s="138">
        <f>SUM(P44:P45)</f>
        <v>10500</v>
      </c>
    </row>
    <row r="47" spans="2:16" s="25" customFormat="1" x14ac:dyDescent="0.2">
      <c r="B47" s="539" t="s">
        <v>345</v>
      </c>
      <c r="C47" s="539"/>
      <c r="D47" s="539"/>
      <c r="E47" s="539"/>
      <c r="F47" s="539"/>
      <c r="G47" s="134">
        <f>G41+G43+G46</f>
        <v>89575</v>
      </c>
      <c r="H47" s="134">
        <f t="shared" ref="H47:I47" si="18">H41+H43+H46</f>
        <v>103125</v>
      </c>
      <c r="I47" s="134">
        <f t="shared" si="18"/>
        <v>51782.398000000001</v>
      </c>
      <c r="J47" s="134">
        <f>J41+J43+J46</f>
        <v>0</v>
      </c>
      <c r="K47" s="134">
        <f>K41+K43+K46</f>
        <v>0</v>
      </c>
      <c r="L47" s="362">
        <f t="shared" si="0"/>
        <v>0</v>
      </c>
      <c r="M47" s="184"/>
      <c r="N47" s="188"/>
      <c r="O47" s="187"/>
      <c r="P47" s="134">
        <f>P41+P43+P46</f>
        <v>14900</v>
      </c>
    </row>
    <row r="48" spans="2:16" s="25" customFormat="1" x14ac:dyDescent="0.2">
      <c r="B48" s="545" t="s">
        <v>575</v>
      </c>
      <c r="C48" s="546">
        <v>1</v>
      </c>
      <c r="D48" s="546">
        <v>10</v>
      </c>
      <c r="E48" s="123">
        <v>20103001</v>
      </c>
      <c r="F48" s="60" t="s">
        <v>342</v>
      </c>
      <c r="G48" s="355">
        <v>0</v>
      </c>
      <c r="H48" s="355">
        <v>0</v>
      </c>
      <c r="I48" s="355">
        <v>0</v>
      </c>
      <c r="J48" s="355">
        <v>0</v>
      </c>
      <c r="K48" s="137">
        <v>30000</v>
      </c>
      <c r="L48" s="362" t="str">
        <f t="shared" si="0"/>
        <v/>
      </c>
      <c r="M48" s="161"/>
      <c r="N48" s="188"/>
      <c r="O48" s="187"/>
      <c r="P48" s="122">
        <v>0</v>
      </c>
    </row>
    <row r="49" spans="2:16" s="25" customFormat="1" x14ac:dyDescent="0.2">
      <c r="B49" s="545"/>
      <c r="C49" s="546"/>
      <c r="D49" s="546"/>
      <c r="E49" s="123">
        <v>23603002</v>
      </c>
      <c r="F49" s="60" t="s">
        <v>68</v>
      </c>
      <c r="G49" s="355">
        <v>0</v>
      </c>
      <c r="H49" s="355">
        <v>0</v>
      </c>
      <c r="I49" s="355">
        <v>0</v>
      </c>
      <c r="J49" s="355">
        <v>0</v>
      </c>
      <c r="K49" s="137">
        <v>75</v>
      </c>
      <c r="L49" s="362" t="str">
        <f t="shared" si="0"/>
        <v/>
      </c>
      <c r="M49" s="161"/>
      <c r="N49" s="188"/>
      <c r="O49" s="187"/>
      <c r="P49" s="122">
        <v>75</v>
      </c>
    </row>
    <row r="50" spans="2:16" s="25" customFormat="1" x14ac:dyDescent="0.2">
      <c r="B50" s="545"/>
      <c r="C50" s="546"/>
      <c r="D50" s="546"/>
      <c r="E50" s="538" t="s">
        <v>344</v>
      </c>
      <c r="F50" s="538"/>
      <c r="G50" s="151">
        <f>SUM(G48:G49)</f>
        <v>0</v>
      </c>
      <c r="H50" s="151">
        <f t="shared" ref="H50:K50" si="19">SUM(H48:H49)</f>
        <v>0</v>
      </c>
      <c r="I50" s="151">
        <f>SUM(I48:I49)</f>
        <v>0</v>
      </c>
      <c r="J50" s="151">
        <f>SUM(J48:J49)</f>
        <v>0</v>
      </c>
      <c r="K50" s="151">
        <f t="shared" si="19"/>
        <v>30075</v>
      </c>
      <c r="L50" s="362" t="str">
        <f t="shared" si="0"/>
        <v/>
      </c>
      <c r="M50" s="184"/>
      <c r="N50" s="188"/>
      <c r="O50" s="187"/>
      <c r="P50" s="151">
        <f>SUM(P48:P49)</f>
        <v>75</v>
      </c>
    </row>
    <row r="51" spans="2:16" s="25" customFormat="1" x14ac:dyDescent="0.2">
      <c r="B51" s="545"/>
      <c r="C51" s="546"/>
      <c r="D51" s="546"/>
      <c r="E51" s="123"/>
      <c r="F51" s="60" t="s">
        <v>510</v>
      </c>
      <c r="G51" s="355">
        <v>0</v>
      </c>
      <c r="H51" s="355">
        <v>0</v>
      </c>
      <c r="I51" s="355">
        <v>0</v>
      </c>
      <c r="J51" s="355">
        <v>0</v>
      </c>
      <c r="K51" s="137">
        <v>1000</v>
      </c>
      <c r="L51" s="362" t="str">
        <f t="shared" si="0"/>
        <v/>
      </c>
      <c r="M51" s="161"/>
      <c r="N51" s="188"/>
      <c r="O51" s="187"/>
      <c r="P51" s="132">
        <v>2000</v>
      </c>
    </row>
    <row r="52" spans="2:16" s="25" customFormat="1" x14ac:dyDescent="0.2">
      <c r="B52" s="545"/>
      <c r="C52" s="546"/>
      <c r="D52" s="546"/>
      <c r="E52" s="439" t="s">
        <v>346</v>
      </c>
      <c r="F52" s="439"/>
      <c r="G52" s="144">
        <f t="shared" ref="G52" si="20">SUM(G51)</f>
        <v>0</v>
      </c>
      <c r="H52" s="144">
        <f>SUM(H51)</f>
        <v>0</v>
      </c>
      <c r="I52" s="144">
        <f t="shared" ref="I52" si="21">SUM(I51)</f>
        <v>0</v>
      </c>
      <c r="J52" s="144">
        <f>SUM(J51)</f>
        <v>0</v>
      </c>
      <c r="K52" s="144">
        <f>SUM(K51)</f>
        <v>1000</v>
      </c>
      <c r="L52" s="362" t="str">
        <f t="shared" si="0"/>
        <v/>
      </c>
      <c r="M52" s="184"/>
      <c r="N52" s="188"/>
      <c r="O52" s="187"/>
      <c r="P52" s="144">
        <f>SUM(P51)</f>
        <v>2000</v>
      </c>
    </row>
    <row r="53" spans="2:16" s="25" customFormat="1" x14ac:dyDescent="0.2">
      <c r="B53" s="539" t="s">
        <v>345</v>
      </c>
      <c r="C53" s="539"/>
      <c r="D53" s="539"/>
      <c r="E53" s="539"/>
      <c r="F53" s="539"/>
      <c r="G53" s="134">
        <f>G50+G52</f>
        <v>0</v>
      </c>
      <c r="H53" s="134">
        <f t="shared" ref="H53:K53" si="22">H50+H52</f>
        <v>0</v>
      </c>
      <c r="I53" s="134">
        <f t="shared" si="22"/>
        <v>0</v>
      </c>
      <c r="J53" s="134">
        <f>J50+J52</f>
        <v>0</v>
      </c>
      <c r="K53" s="134">
        <f t="shared" si="22"/>
        <v>31075</v>
      </c>
      <c r="L53" s="362" t="str">
        <f t="shared" si="0"/>
        <v/>
      </c>
      <c r="M53" s="184"/>
      <c r="N53" s="188"/>
      <c r="O53" s="187"/>
      <c r="P53" s="134">
        <f>P50+P52</f>
        <v>2075</v>
      </c>
    </row>
    <row r="54" spans="2:16" s="25" customFormat="1" x14ac:dyDescent="0.2">
      <c r="B54" s="549" t="s">
        <v>351</v>
      </c>
      <c r="C54" s="550">
        <v>2</v>
      </c>
      <c r="D54" s="550">
        <v>0</v>
      </c>
      <c r="E54" s="17">
        <v>20101001</v>
      </c>
      <c r="F54" s="7" t="s">
        <v>17</v>
      </c>
      <c r="G54" s="355">
        <v>590000</v>
      </c>
      <c r="H54" s="355">
        <v>597000</v>
      </c>
      <c r="I54" s="355">
        <v>555897.05700000003</v>
      </c>
      <c r="J54" s="355">
        <v>0</v>
      </c>
      <c r="K54" s="137">
        <v>680000</v>
      </c>
      <c r="L54" s="362">
        <f t="shared" si="0"/>
        <v>1.152542372881356</v>
      </c>
      <c r="M54" s="161"/>
      <c r="N54" s="188"/>
      <c r="O54" s="187"/>
      <c r="P54" s="305">
        <v>0</v>
      </c>
    </row>
    <row r="55" spans="2:16" s="25" customFormat="1" x14ac:dyDescent="0.2">
      <c r="B55" s="549"/>
      <c r="C55" s="550"/>
      <c r="D55" s="550"/>
      <c r="E55" s="17">
        <v>20103001</v>
      </c>
      <c r="F55" s="7" t="s">
        <v>342</v>
      </c>
      <c r="G55" s="355">
        <v>75000</v>
      </c>
      <c r="H55" s="355">
        <v>76300</v>
      </c>
      <c r="I55" s="355">
        <v>76152.800000000003</v>
      </c>
      <c r="J55" s="355">
        <v>0</v>
      </c>
      <c r="K55" s="137">
        <v>80000</v>
      </c>
      <c r="L55" s="362">
        <f t="shared" si="0"/>
        <v>1.0666666666666667</v>
      </c>
      <c r="M55" s="161"/>
      <c r="N55" s="188"/>
      <c r="O55" s="187"/>
      <c r="P55" s="305">
        <v>0</v>
      </c>
    </row>
    <row r="56" spans="2:16" s="25" customFormat="1" x14ac:dyDescent="0.2">
      <c r="B56" s="549"/>
      <c r="C56" s="550"/>
      <c r="D56" s="550"/>
      <c r="E56" s="28">
        <v>22601001</v>
      </c>
      <c r="F56" s="10" t="s">
        <v>252</v>
      </c>
      <c r="G56" s="355">
        <v>12000</v>
      </c>
      <c r="H56" s="355">
        <v>12000</v>
      </c>
      <c r="I56" s="355">
        <v>8829</v>
      </c>
      <c r="J56" s="355">
        <v>0</v>
      </c>
      <c r="K56" s="137">
        <v>10000</v>
      </c>
      <c r="L56" s="362">
        <f t="shared" si="0"/>
        <v>0.83333333333333337</v>
      </c>
      <c r="M56" s="161"/>
      <c r="N56" s="188"/>
      <c r="O56" s="187"/>
      <c r="P56" s="305">
        <v>0</v>
      </c>
    </row>
    <row r="57" spans="2:16" s="25" customFormat="1" x14ac:dyDescent="0.2">
      <c r="B57" s="549"/>
      <c r="C57" s="550"/>
      <c r="D57" s="550"/>
      <c r="E57" s="17">
        <v>23603002</v>
      </c>
      <c r="F57" s="7" t="s">
        <v>68</v>
      </c>
      <c r="G57" s="355">
        <v>75</v>
      </c>
      <c r="H57" s="355">
        <v>75</v>
      </c>
      <c r="I57" s="355">
        <v>75</v>
      </c>
      <c r="J57" s="355">
        <v>0</v>
      </c>
      <c r="K57" s="137">
        <v>75</v>
      </c>
      <c r="L57" s="362">
        <f t="shared" si="0"/>
        <v>1</v>
      </c>
      <c r="M57" s="161"/>
      <c r="N57" s="188"/>
      <c r="O57" s="187"/>
      <c r="P57" s="305">
        <v>0</v>
      </c>
    </row>
    <row r="58" spans="2:16" s="25" customFormat="1" x14ac:dyDescent="0.2">
      <c r="B58" s="549"/>
      <c r="C58" s="550"/>
      <c r="D58" s="550"/>
      <c r="E58" s="538" t="s">
        <v>344</v>
      </c>
      <c r="F58" s="538"/>
      <c r="G58" s="151">
        <f t="shared" ref="G58:K58" si="23">SUM(G54:G57)</f>
        <v>677075</v>
      </c>
      <c r="H58" s="151">
        <f t="shared" si="23"/>
        <v>685375</v>
      </c>
      <c r="I58" s="151">
        <f>SUM(I54:I57)</f>
        <v>640953.85700000008</v>
      </c>
      <c r="J58" s="151">
        <f>SUM(J54:J57)</f>
        <v>0</v>
      </c>
      <c r="K58" s="151">
        <f t="shared" si="23"/>
        <v>770075</v>
      </c>
      <c r="L58" s="362">
        <f t="shared" si="0"/>
        <v>1.1373555366835284</v>
      </c>
      <c r="M58" s="184"/>
      <c r="N58" s="188"/>
      <c r="O58" s="187"/>
      <c r="P58" s="151">
        <f>SUM(P54:P57)</f>
        <v>0</v>
      </c>
    </row>
    <row r="59" spans="2:16" s="25" customFormat="1" x14ac:dyDescent="0.2">
      <c r="B59" s="539" t="s">
        <v>345</v>
      </c>
      <c r="C59" s="539"/>
      <c r="D59" s="539"/>
      <c r="E59" s="539"/>
      <c r="F59" s="539"/>
      <c r="G59" s="134">
        <f>G58</f>
        <v>677075</v>
      </c>
      <c r="H59" s="134">
        <f t="shared" ref="H59:K59" si="24">H58</f>
        <v>685375</v>
      </c>
      <c r="I59" s="134">
        <f t="shared" si="24"/>
        <v>640953.85700000008</v>
      </c>
      <c r="J59" s="134">
        <f>J58</f>
        <v>0</v>
      </c>
      <c r="K59" s="134">
        <f t="shared" si="24"/>
        <v>770075</v>
      </c>
      <c r="L59" s="362">
        <f t="shared" si="0"/>
        <v>1.1373555366835284</v>
      </c>
      <c r="M59" s="184"/>
      <c r="N59" s="188"/>
      <c r="O59" s="187"/>
      <c r="P59" s="134">
        <f>P58</f>
        <v>0</v>
      </c>
    </row>
    <row r="60" spans="2:16" s="25" customFormat="1" x14ac:dyDescent="0.2">
      <c r="B60" s="547" t="s">
        <v>352</v>
      </c>
      <c r="C60" s="548">
        <v>3</v>
      </c>
      <c r="D60" s="548">
        <v>0</v>
      </c>
      <c r="E60" s="17">
        <v>20101001</v>
      </c>
      <c r="F60" s="7" t="s">
        <v>17</v>
      </c>
      <c r="G60" s="355">
        <v>845000</v>
      </c>
      <c r="H60" s="355">
        <v>928000</v>
      </c>
      <c r="I60" s="355">
        <v>850264.23</v>
      </c>
      <c r="J60" s="355">
        <v>0</v>
      </c>
      <c r="K60" s="137">
        <v>950000</v>
      </c>
      <c r="L60" s="362">
        <f t="shared" si="0"/>
        <v>1.1242603550295858</v>
      </c>
      <c r="M60" s="161"/>
      <c r="N60" s="188"/>
      <c r="O60" s="187"/>
      <c r="P60" s="305">
        <v>0</v>
      </c>
    </row>
    <row r="61" spans="2:16" s="25" customFormat="1" x14ac:dyDescent="0.2">
      <c r="B61" s="547"/>
      <c r="C61" s="548"/>
      <c r="D61" s="548"/>
      <c r="E61" s="17">
        <v>20103001</v>
      </c>
      <c r="F61" s="7" t="s">
        <v>342</v>
      </c>
      <c r="G61" s="355">
        <v>105000</v>
      </c>
      <c r="H61" s="355">
        <v>113500</v>
      </c>
      <c r="I61" s="355">
        <v>113401.996</v>
      </c>
      <c r="J61" s="355">
        <v>0</v>
      </c>
      <c r="K61" s="137">
        <v>118000</v>
      </c>
      <c r="L61" s="362">
        <f t="shared" si="0"/>
        <v>1.1238095238095238</v>
      </c>
      <c r="M61" s="161"/>
      <c r="N61" s="188"/>
      <c r="O61" s="187"/>
      <c r="P61" s="305">
        <v>0</v>
      </c>
    </row>
    <row r="62" spans="2:16" s="25" customFormat="1" x14ac:dyDescent="0.2">
      <c r="B62" s="547"/>
      <c r="C62" s="548"/>
      <c r="D62" s="548"/>
      <c r="E62" s="17">
        <v>23603002</v>
      </c>
      <c r="F62" s="7" t="s">
        <v>68</v>
      </c>
      <c r="G62" s="355">
        <v>75</v>
      </c>
      <c r="H62" s="355">
        <v>75</v>
      </c>
      <c r="I62" s="355">
        <v>75</v>
      </c>
      <c r="J62" s="355">
        <v>0</v>
      </c>
      <c r="K62" s="137">
        <v>75</v>
      </c>
      <c r="L62" s="362">
        <f t="shared" si="0"/>
        <v>1</v>
      </c>
      <c r="M62" s="161"/>
      <c r="N62" s="188"/>
      <c r="O62" s="187"/>
      <c r="P62" s="305">
        <v>0</v>
      </c>
    </row>
    <row r="63" spans="2:16" s="25" customFormat="1" x14ac:dyDescent="0.2">
      <c r="B63" s="547"/>
      <c r="C63" s="548"/>
      <c r="D63" s="548"/>
      <c r="E63" s="538" t="s">
        <v>344</v>
      </c>
      <c r="F63" s="538"/>
      <c r="G63" s="151">
        <f t="shared" ref="G63:K63" si="25">SUM(G60:G62)</f>
        <v>950075</v>
      </c>
      <c r="H63" s="151">
        <f t="shared" si="25"/>
        <v>1041575</v>
      </c>
      <c r="I63" s="151">
        <f>SUM(I60:I62)</f>
        <v>963741.22600000002</v>
      </c>
      <c r="J63" s="151">
        <f>SUM(J60:J62)</f>
        <v>0</v>
      </c>
      <c r="K63" s="151">
        <f t="shared" si="25"/>
        <v>1068075</v>
      </c>
      <c r="L63" s="362">
        <f t="shared" si="0"/>
        <v>1.1242007209957108</v>
      </c>
      <c r="M63" s="184"/>
      <c r="N63" s="188"/>
      <c r="O63" s="187"/>
      <c r="P63" s="151">
        <f>SUM(P60:P62)</f>
        <v>0</v>
      </c>
    </row>
    <row r="64" spans="2:16" s="25" customFormat="1" x14ac:dyDescent="0.2">
      <c r="B64" s="539" t="s">
        <v>345</v>
      </c>
      <c r="C64" s="539"/>
      <c r="D64" s="539"/>
      <c r="E64" s="539"/>
      <c r="F64" s="539"/>
      <c r="G64" s="134">
        <f t="shared" ref="G64:K64" si="26">G63</f>
        <v>950075</v>
      </c>
      <c r="H64" s="134">
        <f t="shared" si="26"/>
        <v>1041575</v>
      </c>
      <c r="I64" s="134">
        <f t="shared" si="26"/>
        <v>963741.22600000002</v>
      </c>
      <c r="J64" s="134">
        <f>J63</f>
        <v>0</v>
      </c>
      <c r="K64" s="134">
        <f t="shared" si="26"/>
        <v>1068075</v>
      </c>
      <c r="L64" s="362">
        <f t="shared" si="0"/>
        <v>1.1242007209957108</v>
      </c>
      <c r="M64" s="184"/>
      <c r="N64" s="188"/>
      <c r="O64" s="187"/>
      <c r="P64" s="134">
        <f>P63</f>
        <v>0</v>
      </c>
    </row>
    <row r="65" spans="2:16" s="25" customFormat="1" x14ac:dyDescent="0.2">
      <c r="B65" s="547" t="s">
        <v>521</v>
      </c>
      <c r="C65" s="548">
        <v>4</v>
      </c>
      <c r="D65" s="548">
        <v>0</v>
      </c>
      <c r="E65" s="17">
        <v>20101001</v>
      </c>
      <c r="F65" s="7" t="s">
        <v>17</v>
      </c>
      <c r="G65" s="355">
        <v>812000</v>
      </c>
      <c r="H65" s="355">
        <v>843000</v>
      </c>
      <c r="I65" s="355">
        <v>842372.48800000001</v>
      </c>
      <c r="J65" s="355">
        <v>0</v>
      </c>
      <c r="K65" s="137">
        <v>865000</v>
      </c>
      <c r="L65" s="362">
        <f t="shared" si="0"/>
        <v>1.0652709359605912</v>
      </c>
      <c r="M65" s="161"/>
      <c r="N65" s="188"/>
      <c r="O65" s="187"/>
      <c r="P65" s="305">
        <v>0</v>
      </c>
    </row>
    <row r="66" spans="2:16" s="25" customFormat="1" x14ac:dyDescent="0.2">
      <c r="B66" s="547"/>
      <c r="C66" s="548"/>
      <c r="D66" s="548"/>
      <c r="E66" s="17">
        <v>20103001</v>
      </c>
      <c r="F66" s="7" t="s">
        <v>342</v>
      </c>
      <c r="G66" s="355">
        <v>97000</v>
      </c>
      <c r="H66" s="355">
        <v>99500</v>
      </c>
      <c r="I66" s="355">
        <v>99377.053</v>
      </c>
      <c r="J66" s="355">
        <v>0</v>
      </c>
      <c r="K66" s="137">
        <v>102000</v>
      </c>
      <c r="L66" s="362">
        <f t="shared" si="0"/>
        <v>1.0515463917525774</v>
      </c>
      <c r="M66" s="161"/>
      <c r="N66" s="188"/>
      <c r="O66" s="187"/>
      <c r="P66" s="305">
        <v>0</v>
      </c>
    </row>
    <row r="67" spans="2:16" s="25" customFormat="1" x14ac:dyDescent="0.2">
      <c r="B67" s="547"/>
      <c r="C67" s="548"/>
      <c r="D67" s="548"/>
      <c r="E67" s="17">
        <v>23603002</v>
      </c>
      <c r="F67" s="7" t="s">
        <v>68</v>
      </c>
      <c r="G67" s="355">
        <v>75</v>
      </c>
      <c r="H67" s="355">
        <v>75</v>
      </c>
      <c r="I67" s="355">
        <v>73.5</v>
      </c>
      <c r="J67" s="355">
        <v>0</v>
      </c>
      <c r="K67" s="137">
        <v>75</v>
      </c>
      <c r="L67" s="362">
        <f t="shared" si="0"/>
        <v>1</v>
      </c>
      <c r="M67" s="161"/>
      <c r="N67" s="188"/>
      <c r="O67" s="187"/>
      <c r="P67" s="305">
        <v>75</v>
      </c>
    </row>
    <row r="68" spans="2:16" s="25" customFormat="1" x14ac:dyDescent="0.2">
      <c r="B68" s="547"/>
      <c r="C68" s="548"/>
      <c r="D68" s="548"/>
      <c r="E68" s="538" t="s">
        <v>344</v>
      </c>
      <c r="F68" s="538"/>
      <c r="G68" s="151">
        <f t="shared" ref="G68:K68" si="27">SUM(G65:G67)</f>
        <v>909075</v>
      </c>
      <c r="H68" s="151">
        <f t="shared" si="27"/>
        <v>942575</v>
      </c>
      <c r="I68" s="151">
        <f>SUM(I65:I67)</f>
        <v>941823.04099999997</v>
      </c>
      <c r="J68" s="151">
        <f>SUM(J65:J67)</f>
        <v>0</v>
      </c>
      <c r="K68" s="151">
        <f t="shared" si="27"/>
        <v>967075</v>
      </c>
      <c r="L68" s="362">
        <f t="shared" si="0"/>
        <v>1.0638011165195391</v>
      </c>
      <c r="M68" s="184"/>
      <c r="N68" s="188"/>
      <c r="O68" s="187"/>
      <c r="P68" s="151">
        <f>SUM(P65:P67)</f>
        <v>75</v>
      </c>
    </row>
    <row r="69" spans="2:16" s="25" customFormat="1" x14ac:dyDescent="0.2">
      <c r="B69" s="547"/>
      <c r="C69" s="548"/>
      <c r="D69" s="548"/>
      <c r="E69" s="17">
        <v>25601001</v>
      </c>
      <c r="F69" s="7" t="s">
        <v>486</v>
      </c>
      <c r="G69" s="355">
        <v>15000</v>
      </c>
      <c r="H69" s="355">
        <v>0</v>
      </c>
      <c r="I69" s="355">
        <v>0</v>
      </c>
      <c r="J69" s="355">
        <v>0</v>
      </c>
      <c r="K69" s="137">
        <v>5000</v>
      </c>
      <c r="L69" s="362">
        <f t="shared" ref="L69:L132" si="28">IFERROR(K69/G69,"")</f>
        <v>0.33333333333333331</v>
      </c>
      <c r="M69" s="161"/>
      <c r="N69" s="188"/>
      <c r="O69" s="187"/>
      <c r="P69" s="305">
        <v>15000</v>
      </c>
    </row>
    <row r="70" spans="2:16" s="25" customFormat="1" x14ac:dyDescent="0.2">
      <c r="B70" s="547"/>
      <c r="C70" s="548"/>
      <c r="D70" s="548"/>
      <c r="E70" s="439" t="s">
        <v>346</v>
      </c>
      <c r="F70" s="439"/>
      <c r="G70" s="144">
        <f t="shared" ref="G70:K70" si="29">SUM(G69:G69)</f>
        <v>15000</v>
      </c>
      <c r="H70" s="144">
        <f t="shared" si="29"/>
        <v>0</v>
      </c>
      <c r="I70" s="144">
        <f t="shared" si="29"/>
        <v>0</v>
      </c>
      <c r="J70" s="144">
        <f>SUM(J69:J69)</f>
        <v>0</v>
      </c>
      <c r="K70" s="144">
        <f t="shared" si="29"/>
        <v>5000</v>
      </c>
      <c r="L70" s="362">
        <f t="shared" si="28"/>
        <v>0.33333333333333331</v>
      </c>
      <c r="M70" s="184"/>
      <c r="N70" s="188"/>
      <c r="O70" s="187"/>
      <c r="P70" s="144">
        <f>SUM(P69:P69)</f>
        <v>15000</v>
      </c>
    </row>
    <row r="71" spans="2:16" s="25" customFormat="1" x14ac:dyDescent="0.2">
      <c r="B71" s="547"/>
      <c r="C71" s="548"/>
      <c r="D71" s="548"/>
      <c r="E71" s="124">
        <v>26301015</v>
      </c>
      <c r="F71" s="66" t="s">
        <v>485</v>
      </c>
      <c r="G71" s="355">
        <v>250000</v>
      </c>
      <c r="H71" s="355">
        <v>250000</v>
      </c>
      <c r="I71" s="355">
        <v>0</v>
      </c>
      <c r="J71" s="355">
        <v>0</v>
      </c>
      <c r="K71" s="137"/>
      <c r="L71" s="362">
        <f t="shared" si="28"/>
        <v>0</v>
      </c>
      <c r="M71" s="161"/>
      <c r="N71" s="188"/>
      <c r="O71" s="187"/>
      <c r="P71" s="119">
        <v>0</v>
      </c>
    </row>
    <row r="72" spans="2:16" s="25" customFormat="1" x14ac:dyDescent="0.2">
      <c r="B72" s="547"/>
      <c r="C72" s="548"/>
      <c r="D72" s="548"/>
      <c r="E72" s="459" t="s">
        <v>347</v>
      </c>
      <c r="F72" s="459"/>
      <c r="G72" s="138">
        <f>SUM(G71:G71)</f>
        <v>250000</v>
      </c>
      <c r="H72" s="138">
        <f t="shared" ref="H72:K72" si="30">SUM(H71:H71)</f>
        <v>250000</v>
      </c>
      <c r="I72" s="138">
        <f t="shared" si="30"/>
        <v>0</v>
      </c>
      <c r="J72" s="138">
        <f>SUM(J71:J71)</f>
        <v>0</v>
      </c>
      <c r="K72" s="138">
        <f t="shared" si="30"/>
        <v>0</v>
      </c>
      <c r="L72" s="362">
        <f t="shared" si="28"/>
        <v>0</v>
      </c>
      <c r="M72" s="184"/>
      <c r="N72" s="188"/>
      <c r="O72" s="187"/>
      <c r="P72" s="138">
        <f>SUM(P71:P71)</f>
        <v>0</v>
      </c>
    </row>
    <row r="73" spans="2:16" s="25" customFormat="1" x14ac:dyDescent="0.2">
      <c r="B73" s="539" t="s">
        <v>345</v>
      </c>
      <c r="C73" s="539"/>
      <c r="D73" s="539"/>
      <c r="E73" s="539"/>
      <c r="F73" s="539"/>
      <c r="G73" s="134">
        <f>G68+G70+G72</f>
        <v>1174075</v>
      </c>
      <c r="H73" s="134">
        <f t="shared" ref="H73:K73" si="31">H68+H70+H72</f>
        <v>1192575</v>
      </c>
      <c r="I73" s="134">
        <f t="shared" si="31"/>
        <v>941823.04099999997</v>
      </c>
      <c r="J73" s="134">
        <f>J68+J70+J72</f>
        <v>0</v>
      </c>
      <c r="K73" s="134">
        <f t="shared" si="31"/>
        <v>972075</v>
      </c>
      <c r="L73" s="362">
        <f t="shared" si="28"/>
        <v>0.82794966250026614</v>
      </c>
      <c r="M73" s="184"/>
      <c r="N73" s="188"/>
      <c r="O73" s="187"/>
      <c r="P73" s="134">
        <f>P68+P70+P72</f>
        <v>15075</v>
      </c>
    </row>
    <row r="74" spans="2:16" s="25" customFormat="1" x14ac:dyDescent="0.2">
      <c r="B74" s="547" t="s">
        <v>353</v>
      </c>
      <c r="C74" s="548">
        <v>5</v>
      </c>
      <c r="D74" s="548">
        <v>0</v>
      </c>
      <c r="E74" s="17">
        <v>20101001</v>
      </c>
      <c r="F74" s="7" t="s">
        <v>17</v>
      </c>
      <c r="G74" s="355">
        <v>640000</v>
      </c>
      <c r="H74" s="355">
        <v>640000</v>
      </c>
      <c r="I74" s="355">
        <v>630717.75899999996</v>
      </c>
      <c r="J74" s="355">
        <v>0</v>
      </c>
      <c r="K74" s="137">
        <v>635000</v>
      </c>
      <c r="L74" s="362">
        <f t="shared" si="28"/>
        <v>0.9921875</v>
      </c>
      <c r="M74" s="161"/>
      <c r="N74" s="188"/>
      <c r="O74" s="187"/>
      <c r="P74" s="305">
        <v>0</v>
      </c>
    </row>
    <row r="75" spans="2:16" s="25" customFormat="1" x14ac:dyDescent="0.2">
      <c r="B75" s="547"/>
      <c r="C75" s="548"/>
      <c r="D75" s="548"/>
      <c r="E75" s="17">
        <v>20103001</v>
      </c>
      <c r="F75" s="7" t="s">
        <v>342</v>
      </c>
      <c r="G75" s="355">
        <v>222000</v>
      </c>
      <c r="H75" s="355">
        <v>236500</v>
      </c>
      <c r="I75" s="355">
        <v>236135.26</v>
      </c>
      <c r="J75" s="355">
        <v>0</v>
      </c>
      <c r="K75" s="137">
        <v>245000</v>
      </c>
      <c r="L75" s="362">
        <f t="shared" si="28"/>
        <v>1.1036036036036037</v>
      </c>
      <c r="M75" s="161"/>
      <c r="N75" s="188"/>
      <c r="O75" s="187"/>
      <c r="P75" s="305">
        <v>0</v>
      </c>
    </row>
    <row r="76" spans="2:16" s="25" customFormat="1" x14ac:dyDescent="0.2">
      <c r="B76" s="547"/>
      <c r="C76" s="548"/>
      <c r="D76" s="548"/>
      <c r="E76" s="28">
        <v>22601001</v>
      </c>
      <c r="F76" s="10" t="s">
        <v>252</v>
      </c>
      <c r="G76" s="355">
        <v>2000</v>
      </c>
      <c r="H76" s="355">
        <v>2000</v>
      </c>
      <c r="I76" s="355">
        <v>90</v>
      </c>
      <c r="J76" s="355">
        <v>0</v>
      </c>
      <c r="K76" s="137">
        <v>2000</v>
      </c>
      <c r="L76" s="362">
        <f t="shared" si="28"/>
        <v>1</v>
      </c>
      <c r="M76" s="161"/>
      <c r="N76" s="188"/>
      <c r="O76" s="187"/>
      <c r="P76" s="305">
        <v>0</v>
      </c>
    </row>
    <row r="77" spans="2:16" s="25" customFormat="1" x14ac:dyDescent="0.2">
      <c r="B77" s="547"/>
      <c r="C77" s="548"/>
      <c r="D77" s="548"/>
      <c r="E77" s="17">
        <v>23603002</v>
      </c>
      <c r="F77" s="7" t="s">
        <v>68</v>
      </c>
      <c r="G77" s="355">
        <v>75</v>
      </c>
      <c r="H77" s="355">
        <v>75</v>
      </c>
      <c r="I77" s="355">
        <v>0</v>
      </c>
      <c r="J77" s="355">
        <v>0</v>
      </c>
      <c r="K77" s="137">
        <v>75</v>
      </c>
      <c r="L77" s="362">
        <f t="shared" si="28"/>
        <v>1</v>
      </c>
      <c r="M77" s="161"/>
      <c r="N77" s="188"/>
      <c r="O77" s="187"/>
      <c r="P77" s="305">
        <v>0</v>
      </c>
    </row>
    <row r="78" spans="2:16" s="25" customFormat="1" x14ac:dyDescent="0.2">
      <c r="B78" s="547"/>
      <c r="C78" s="548"/>
      <c r="D78" s="548"/>
      <c r="E78" s="538" t="s">
        <v>344</v>
      </c>
      <c r="F78" s="538"/>
      <c r="G78" s="151">
        <f t="shared" ref="G78:K78" si="32">SUM(G74:G77)</f>
        <v>864075</v>
      </c>
      <c r="H78" s="151">
        <f t="shared" si="32"/>
        <v>878575</v>
      </c>
      <c r="I78" s="151">
        <f>SUM(I74:I77)</f>
        <v>866943.01899999997</v>
      </c>
      <c r="J78" s="151">
        <f>SUM(J74:J77)</f>
        <v>0</v>
      </c>
      <c r="K78" s="151">
        <f t="shared" si="32"/>
        <v>882075</v>
      </c>
      <c r="L78" s="362">
        <f t="shared" si="28"/>
        <v>1.020831525041229</v>
      </c>
      <c r="M78" s="184"/>
      <c r="N78" s="188"/>
      <c r="O78" s="187"/>
      <c r="P78" s="151">
        <f>SUM(P74:P77)</f>
        <v>0</v>
      </c>
    </row>
    <row r="79" spans="2:16" s="25" customFormat="1" x14ac:dyDescent="0.2">
      <c r="B79" s="547"/>
      <c r="C79" s="548"/>
      <c r="D79" s="548"/>
      <c r="E79" s="17">
        <v>25601001</v>
      </c>
      <c r="F79" s="7" t="s">
        <v>486</v>
      </c>
      <c r="G79" s="355">
        <v>10000</v>
      </c>
      <c r="H79" s="355">
        <v>1000</v>
      </c>
      <c r="I79" s="355">
        <v>240</v>
      </c>
      <c r="J79" s="355">
        <v>270</v>
      </c>
      <c r="K79" s="137">
        <v>5000</v>
      </c>
      <c r="L79" s="362">
        <f t="shared" si="28"/>
        <v>0.5</v>
      </c>
      <c r="M79" s="161"/>
      <c r="N79" s="188"/>
      <c r="O79" s="187"/>
      <c r="P79" s="305">
        <v>0</v>
      </c>
    </row>
    <row r="80" spans="2:16" s="25" customFormat="1" x14ac:dyDescent="0.2">
      <c r="B80" s="547"/>
      <c r="C80" s="548"/>
      <c r="D80" s="548"/>
      <c r="E80" s="29">
        <v>25602001</v>
      </c>
      <c r="F80" s="12" t="s">
        <v>145</v>
      </c>
      <c r="G80" s="355">
        <v>1000</v>
      </c>
      <c r="H80" s="355">
        <v>0</v>
      </c>
      <c r="I80" s="355">
        <v>0</v>
      </c>
      <c r="J80" s="355">
        <v>0</v>
      </c>
      <c r="K80" s="137">
        <v>1000</v>
      </c>
      <c r="L80" s="362">
        <f t="shared" si="28"/>
        <v>1</v>
      </c>
      <c r="M80" s="161"/>
      <c r="N80" s="188"/>
      <c r="O80" s="187"/>
      <c r="P80" s="305">
        <v>0</v>
      </c>
    </row>
    <row r="81" spans="2:16" s="25" customFormat="1" x14ac:dyDescent="0.2">
      <c r="B81" s="547"/>
      <c r="C81" s="548"/>
      <c r="D81" s="548"/>
      <c r="E81" s="439" t="s">
        <v>346</v>
      </c>
      <c r="F81" s="439"/>
      <c r="G81" s="144">
        <f t="shared" ref="G81:K81" si="33">SUM(G79:G80)</f>
        <v>11000</v>
      </c>
      <c r="H81" s="144">
        <f t="shared" si="33"/>
        <v>1000</v>
      </c>
      <c r="I81" s="144">
        <f t="shared" si="33"/>
        <v>240</v>
      </c>
      <c r="J81" s="144">
        <f>SUM(J79:J80)</f>
        <v>270</v>
      </c>
      <c r="K81" s="144">
        <f t="shared" si="33"/>
        <v>6000</v>
      </c>
      <c r="L81" s="362">
        <f t="shared" si="28"/>
        <v>0.54545454545454541</v>
      </c>
      <c r="M81" s="184"/>
      <c r="N81" s="188"/>
      <c r="O81" s="187"/>
      <c r="P81" s="144">
        <f>SUM(P79:P80)</f>
        <v>0</v>
      </c>
    </row>
    <row r="82" spans="2:16" s="25" customFormat="1" x14ac:dyDescent="0.2">
      <c r="B82" s="539" t="s">
        <v>345</v>
      </c>
      <c r="C82" s="539"/>
      <c r="D82" s="539"/>
      <c r="E82" s="539"/>
      <c r="F82" s="539"/>
      <c r="G82" s="134">
        <f>G78+G81</f>
        <v>875075</v>
      </c>
      <c r="H82" s="134">
        <f t="shared" ref="H82:K82" si="34">H78+H81</f>
        <v>879575</v>
      </c>
      <c r="I82" s="134">
        <f t="shared" si="34"/>
        <v>867183.01899999997</v>
      </c>
      <c r="J82" s="134">
        <f>J78+J81</f>
        <v>270</v>
      </c>
      <c r="K82" s="134">
        <f t="shared" si="34"/>
        <v>888075</v>
      </c>
      <c r="L82" s="362">
        <f t="shared" si="28"/>
        <v>1.0148558694969003</v>
      </c>
      <c r="M82" s="184"/>
      <c r="N82" s="188"/>
      <c r="O82" s="187"/>
      <c r="P82" s="134">
        <f>P78+P81</f>
        <v>0</v>
      </c>
    </row>
    <row r="83" spans="2:16" s="25" customFormat="1" x14ac:dyDescent="0.2">
      <c r="B83" s="547" t="s">
        <v>354</v>
      </c>
      <c r="C83" s="548">
        <v>6</v>
      </c>
      <c r="D83" s="548">
        <v>0</v>
      </c>
      <c r="E83" s="17">
        <v>20101001</v>
      </c>
      <c r="F83" s="7" t="s">
        <v>17</v>
      </c>
      <c r="G83" s="355">
        <v>473000</v>
      </c>
      <c r="H83" s="355">
        <v>473000</v>
      </c>
      <c r="I83" s="355">
        <v>440783.91700000002</v>
      </c>
      <c r="J83" s="355">
        <v>0</v>
      </c>
      <c r="K83" s="137">
        <v>490000</v>
      </c>
      <c r="L83" s="362">
        <f t="shared" si="28"/>
        <v>1.0359408033826638</v>
      </c>
      <c r="M83" s="161"/>
      <c r="N83" s="188"/>
      <c r="O83" s="187"/>
      <c r="P83" s="305">
        <v>0</v>
      </c>
    </row>
    <row r="84" spans="2:16" s="25" customFormat="1" x14ac:dyDescent="0.2">
      <c r="B84" s="547"/>
      <c r="C84" s="548"/>
      <c r="D84" s="548"/>
      <c r="E84" s="17">
        <v>20103001</v>
      </c>
      <c r="F84" s="7" t="s">
        <v>342</v>
      </c>
      <c r="G84" s="355">
        <v>172000</v>
      </c>
      <c r="H84" s="355">
        <v>211000</v>
      </c>
      <c r="I84" s="355">
        <v>210545.432</v>
      </c>
      <c r="J84" s="355">
        <v>0</v>
      </c>
      <c r="K84" s="137">
        <v>218000</v>
      </c>
      <c r="L84" s="362">
        <f t="shared" si="28"/>
        <v>1.2674418604651163</v>
      </c>
      <c r="M84" s="161"/>
      <c r="N84" s="188"/>
      <c r="O84" s="187"/>
      <c r="P84" s="305">
        <v>0</v>
      </c>
    </row>
    <row r="85" spans="2:16" s="25" customFormat="1" x14ac:dyDescent="0.2">
      <c r="B85" s="547"/>
      <c r="C85" s="548"/>
      <c r="D85" s="548"/>
      <c r="E85" s="28">
        <v>22601001</v>
      </c>
      <c r="F85" s="10" t="s">
        <v>252</v>
      </c>
      <c r="G85" s="355">
        <v>3000</v>
      </c>
      <c r="H85" s="355">
        <v>3000</v>
      </c>
      <c r="I85" s="355">
        <v>441.5</v>
      </c>
      <c r="J85" s="355">
        <v>0</v>
      </c>
      <c r="K85" s="137">
        <v>1000</v>
      </c>
      <c r="L85" s="362">
        <f t="shared" si="28"/>
        <v>0.33333333333333331</v>
      </c>
      <c r="M85" s="161"/>
      <c r="N85" s="188"/>
      <c r="O85" s="187"/>
      <c r="P85" s="305">
        <v>60</v>
      </c>
    </row>
    <row r="86" spans="2:16" s="25" customFormat="1" x14ac:dyDescent="0.2">
      <c r="B86" s="547"/>
      <c r="C86" s="548"/>
      <c r="D86" s="548"/>
      <c r="E86" s="17">
        <v>23603002</v>
      </c>
      <c r="F86" s="7" t="s">
        <v>68</v>
      </c>
      <c r="G86" s="355">
        <v>75</v>
      </c>
      <c r="H86" s="355">
        <v>75</v>
      </c>
      <c r="I86" s="355">
        <v>0</v>
      </c>
      <c r="J86" s="355">
        <v>0</v>
      </c>
      <c r="K86" s="137">
        <v>75</v>
      </c>
      <c r="L86" s="362">
        <f t="shared" si="28"/>
        <v>1</v>
      </c>
      <c r="M86" s="161"/>
      <c r="N86" s="188"/>
      <c r="O86" s="187"/>
      <c r="P86" s="305">
        <v>75</v>
      </c>
    </row>
    <row r="87" spans="2:16" s="25" customFormat="1" x14ac:dyDescent="0.2">
      <c r="B87" s="547"/>
      <c r="C87" s="548"/>
      <c r="D87" s="548"/>
      <c r="E87" s="538" t="s">
        <v>344</v>
      </c>
      <c r="F87" s="538"/>
      <c r="G87" s="151">
        <f t="shared" ref="G87:K87" si="35">SUM(G83:G86)</f>
        <v>648075</v>
      </c>
      <c r="H87" s="151">
        <f t="shared" si="35"/>
        <v>687075</v>
      </c>
      <c r="I87" s="151">
        <f>SUM(I83:I86)</f>
        <v>651770.84900000005</v>
      </c>
      <c r="J87" s="151">
        <f>SUM(J83:J86)</f>
        <v>0</v>
      </c>
      <c r="K87" s="151">
        <f t="shared" si="35"/>
        <v>709075</v>
      </c>
      <c r="L87" s="362">
        <f t="shared" si="28"/>
        <v>1.0941249083825175</v>
      </c>
      <c r="M87" s="184"/>
      <c r="N87" s="188"/>
      <c r="O87" s="187"/>
      <c r="P87" s="151">
        <f>SUM(P83:P86)</f>
        <v>135</v>
      </c>
    </row>
    <row r="88" spans="2:16" s="25" customFormat="1" x14ac:dyDescent="0.2">
      <c r="B88" s="547"/>
      <c r="C88" s="548"/>
      <c r="D88" s="548"/>
      <c r="E88" s="17">
        <v>25601001</v>
      </c>
      <c r="F88" s="7" t="s">
        <v>486</v>
      </c>
      <c r="G88" s="355">
        <v>10000</v>
      </c>
      <c r="H88" s="355">
        <v>0</v>
      </c>
      <c r="I88" s="355">
        <v>0</v>
      </c>
      <c r="J88" s="355">
        <v>0</v>
      </c>
      <c r="K88" s="137">
        <v>10000</v>
      </c>
      <c r="L88" s="362">
        <f t="shared" si="28"/>
        <v>1</v>
      </c>
      <c r="M88" s="161"/>
      <c r="N88" s="188"/>
      <c r="O88" s="187"/>
      <c r="P88" s="305">
        <v>10000</v>
      </c>
    </row>
    <row r="89" spans="2:16" s="25" customFormat="1" x14ac:dyDescent="0.2">
      <c r="B89" s="547"/>
      <c r="C89" s="548"/>
      <c r="D89" s="548"/>
      <c r="E89" s="29">
        <v>25602001</v>
      </c>
      <c r="F89" s="12" t="s">
        <v>145</v>
      </c>
      <c r="G89" s="355">
        <v>5000</v>
      </c>
      <c r="H89" s="355">
        <v>0</v>
      </c>
      <c r="I89" s="355">
        <v>0</v>
      </c>
      <c r="J89" s="355">
        <v>0</v>
      </c>
      <c r="K89" s="137">
        <v>5000</v>
      </c>
      <c r="L89" s="362">
        <f t="shared" si="28"/>
        <v>1</v>
      </c>
      <c r="M89" s="161"/>
      <c r="N89" s="188"/>
      <c r="O89" s="187"/>
      <c r="P89" s="305">
        <v>5000</v>
      </c>
    </row>
    <row r="90" spans="2:16" s="25" customFormat="1" x14ac:dyDescent="0.2">
      <c r="B90" s="547"/>
      <c r="C90" s="548"/>
      <c r="D90" s="548"/>
      <c r="E90" s="439" t="s">
        <v>346</v>
      </c>
      <c r="F90" s="439"/>
      <c r="G90" s="144">
        <f t="shared" ref="G90:K90" si="36">SUM(G88:G89)</f>
        <v>15000</v>
      </c>
      <c r="H90" s="144">
        <f t="shared" si="36"/>
        <v>0</v>
      </c>
      <c r="I90" s="144">
        <f t="shared" si="36"/>
        <v>0</v>
      </c>
      <c r="J90" s="144">
        <f>SUM(J88:J89)</f>
        <v>0</v>
      </c>
      <c r="K90" s="144">
        <f t="shared" si="36"/>
        <v>15000</v>
      </c>
      <c r="L90" s="362">
        <f t="shared" si="28"/>
        <v>1</v>
      </c>
      <c r="M90" s="184"/>
      <c r="N90" s="188"/>
      <c r="O90" s="187"/>
      <c r="P90" s="144">
        <f>SUM(P88:P89)</f>
        <v>15000</v>
      </c>
    </row>
    <row r="91" spans="2:16" s="25" customFormat="1" x14ac:dyDescent="0.2">
      <c r="B91" s="547"/>
      <c r="C91" s="548"/>
      <c r="D91" s="548"/>
      <c r="E91" s="17">
        <v>26301019</v>
      </c>
      <c r="F91" s="6" t="s">
        <v>488</v>
      </c>
      <c r="G91" s="355">
        <v>20000</v>
      </c>
      <c r="H91" s="355">
        <v>20000</v>
      </c>
      <c r="I91" s="355">
        <v>0</v>
      </c>
      <c r="J91" s="355">
        <v>0</v>
      </c>
      <c r="K91" s="137">
        <v>20000</v>
      </c>
      <c r="L91" s="362">
        <f t="shared" si="28"/>
        <v>1</v>
      </c>
      <c r="M91" s="161"/>
      <c r="N91" s="188"/>
      <c r="O91" s="187"/>
      <c r="P91" s="305">
        <v>20000</v>
      </c>
    </row>
    <row r="92" spans="2:16" s="25" customFormat="1" x14ac:dyDescent="0.2">
      <c r="B92" s="547"/>
      <c r="C92" s="548"/>
      <c r="D92" s="548"/>
      <c r="E92" s="459" t="s">
        <v>347</v>
      </c>
      <c r="F92" s="459"/>
      <c r="G92" s="138">
        <f t="shared" ref="G92:K92" si="37">SUM(G91:G91)</f>
        <v>20000</v>
      </c>
      <c r="H92" s="138">
        <f t="shared" si="37"/>
        <v>20000</v>
      </c>
      <c r="I92" s="138">
        <f t="shared" si="37"/>
        <v>0</v>
      </c>
      <c r="J92" s="138">
        <f>SUM(J91:J91)</f>
        <v>0</v>
      </c>
      <c r="K92" s="138">
        <f t="shared" si="37"/>
        <v>20000</v>
      </c>
      <c r="L92" s="362">
        <f t="shared" si="28"/>
        <v>1</v>
      </c>
      <c r="M92" s="184"/>
      <c r="N92" s="188"/>
      <c r="O92" s="187"/>
      <c r="P92" s="138">
        <f>SUM(P91:P91)</f>
        <v>20000</v>
      </c>
    </row>
    <row r="93" spans="2:16" s="25" customFormat="1" x14ac:dyDescent="0.2">
      <c r="B93" s="539" t="s">
        <v>345</v>
      </c>
      <c r="C93" s="539"/>
      <c r="D93" s="539"/>
      <c r="E93" s="539"/>
      <c r="F93" s="539"/>
      <c r="G93" s="134">
        <f>G87+G90+G92</f>
        <v>683075</v>
      </c>
      <c r="H93" s="134">
        <f t="shared" ref="H93:K93" si="38">H87+H90+H92</f>
        <v>707075</v>
      </c>
      <c r="I93" s="134">
        <f t="shared" si="38"/>
        <v>651770.84900000005</v>
      </c>
      <c r="J93" s="134">
        <f>J87+J90+J92</f>
        <v>0</v>
      </c>
      <c r="K93" s="134">
        <f t="shared" si="38"/>
        <v>744075</v>
      </c>
      <c r="L93" s="362">
        <f t="shared" si="28"/>
        <v>1.08930205321524</v>
      </c>
      <c r="M93" s="184"/>
      <c r="N93" s="188"/>
      <c r="O93" s="187"/>
      <c r="P93" s="134">
        <f>P87+P90+P92</f>
        <v>35135</v>
      </c>
    </row>
    <row r="94" spans="2:16" s="25" customFormat="1" x14ac:dyDescent="0.2">
      <c r="B94" s="547" t="s">
        <v>355</v>
      </c>
      <c r="C94" s="548">
        <v>7</v>
      </c>
      <c r="D94" s="548">
        <v>0</v>
      </c>
      <c r="E94" s="17">
        <v>20101001</v>
      </c>
      <c r="F94" s="7" t="s">
        <v>17</v>
      </c>
      <c r="G94" s="355">
        <v>985000</v>
      </c>
      <c r="H94" s="355">
        <v>1162000</v>
      </c>
      <c r="I94" s="355">
        <v>1116171.777</v>
      </c>
      <c r="J94" s="355">
        <v>0</v>
      </c>
      <c r="K94" s="137">
        <v>1170000</v>
      </c>
      <c r="L94" s="362">
        <f t="shared" si="28"/>
        <v>1.1878172588832487</v>
      </c>
      <c r="M94" s="161"/>
      <c r="N94" s="188"/>
      <c r="O94" s="187"/>
      <c r="P94" s="305">
        <v>0</v>
      </c>
    </row>
    <row r="95" spans="2:16" s="25" customFormat="1" x14ac:dyDescent="0.2">
      <c r="B95" s="547"/>
      <c r="C95" s="548"/>
      <c r="D95" s="548"/>
      <c r="E95" s="17">
        <v>20103001</v>
      </c>
      <c r="F95" s="7" t="s">
        <v>342</v>
      </c>
      <c r="G95" s="355">
        <v>77000</v>
      </c>
      <c r="H95" s="355">
        <v>81500</v>
      </c>
      <c r="I95" s="355">
        <v>81239.962</v>
      </c>
      <c r="J95" s="355">
        <v>0</v>
      </c>
      <c r="K95" s="137">
        <v>85000</v>
      </c>
      <c r="L95" s="362">
        <f t="shared" si="28"/>
        <v>1.1038961038961039</v>
      </c>
      <c r="M95" s="161"/>
      <c r="N95" s="188"/>
      <c r="O95" s="187"/>
      <c r="P95" s="305">
        <v>0</v>
      </c>
    </row>
    <row r="96" spans="2:16" s="25" customFormat="1" x14ac:dyDescent="0.2">
      <c r="B96" s="547"/>
      <c r="C96" s="548"/>
      <c r="D96" s="548"/>
      <c r="E96" s="17">
        <v>23603002</v>
      </c>
      <c r="F96" s="7" t="s">
        <v>68</v>
      </c>
      <c r="G96" s="355">
        <v>75</v>
      </c>
      <c r="H96" s="355">
        <v>75</v>
      </c>
      <c r="I96" s="355">
        <v>0</v>
      </c>
      <c r="J96" s="355">
        <v>0</v>
      </c>
      <c r="K96" s="137">
        <v>75</v>
      </c>
      <c r="L96" s="362">
        <f t="shared" si="28"/>
        <v>1</v>
      </c>
      <c r="M96" s="161"/>
      <c r="N96" s="188"/>
      <c r="O96" s="187"/>
      <c r="P96" s="305">
        <v>100</v>
      </c>
    </row>
    <row r="97" spans="2:16" s="25" customFormat="1" x14ac:dyDescent="0.2">
      <c r="B97" s="547"/>
      <c r="C97" s="548"/>
      <c r="D97" s="548"/>
      <c r="E97" s="538" t="s">
        <v>344</v>
      </c>
      <c r="F97" s="538"/>
      <c r="G97" s="151">
        <f t="shared" ref="G97:K97" si="39">SUM(G94:G96)</f>
        <v>1062075</v>
      </c>
      <c r="H97" s="151">
        <f t="shared" si="39"/>
        <v>1243575</v>
      </c>
      <c r="I97" s="151">
        <f>SUM(I94:I96)</f>
        <v>1197411.7390000001</v>
      </c>
      <c r="J97" s="151">
        <f>SUM(J94:J96)</f>
        <v>0</v>
      </c>
      <c r="K97" s="151">
        <f t="shared" si="39"/>
        <v>1255075</v>
      </c>
      <c r="L97" s="362">
        <f t="shared" si="28"/>
        <v>1.1817197467222182</v>
      </c>
      <c r="M97" s="184"/>
      <c r="N97" s="188"/>
      <c r="O97" s="187"/>
      <c r="P97" s="151">
        <f>SUM(P94:P96)</f>
        <v>100</v>
      </c>
    </row>
    <row r="98" spans="2:16" s="25" customFormat="1" x14ac:dyDescent="0.2">
      <c r="B98" s="547"/>
      <c r="C98" s="548"/>
      <c r="D98" s="548"/>
      <c r="E98" s="29">
        <v>26302007</v>
      </c>
      <c r="F98" s="6" t="s">
        <v>304</v>
      </c>
      <c r="G98" s="355">
        <v>15000</v>
      </c>
      <c r="H98" s="355">
        <v>15000</v>
      </c>
      <c r="I98" s="355">
        <v>0</v>
      </c>
      <c r="J98" s="355">
        <v>0</v>
      </c>
      <c r="K98" s="137">
        <v>10000</v>
      </c>
      <c r="L98" s="362">
        <f t="shared" si="28"/>
        <v>0.66666666666666663</v>
      </c>
      <c r="M98" s="161"/>
      <c r="N98" s="188"/>
      <c r="O98" s="187"/>
      <c r="P98" s="305">
        <v>15000</v>
      </c>
    </row>
    <row r="99" spans="2:16" s="25" customFormat="1" x14ac:dyDescent="0.2">
      <c r="B99" s="547"/>
      <c r="C99" s="548"/>
      <c r="D99" s="548"/>
      <c r="E99" s="459" t="s">
        <v>347</v>
      </c>
      <c r="F99" s="459"/>
      <c r="G99" s="138">
        <f t="shared" ref="G99:K99" si="40">SUM(G98)</f>
        <v>15000</v>
      </c>
      <c r="H99" s="138">
        <f t="shared" si="40"/>
        <v>15000</v>
      </c>
      <c r="I99" s="138">
        <f t="shared" si="40"/>
        <v>0</v>
      </c>
      <c r="J99" s="138">
        <f>SUM(J98)</f>
        <v>0</v>
      </c>
      <c r="K99" s="138">
        <f t="shared" si="40"/>
        <v>10000</v>
      </c>
      <c r="L99" s="362">
        <f t="shared" si="28"/>
        <v>0.66666666666666663</v>
      </c>
      <c r="M99" s="184"/>
      <c r="N99" s="188"/>
      <c r="O99" s="187"/>
      <c r="P99" s="138">
        <f>SUM(P98)</f>
        <v>15000</v>
      </c>
    </row>
    <row r="100" spans="2:16" s="25" customFormat="1" x14ac:dyDescent="0.2">
      <c r="B100" s="539" t="s">
        <v>345</v>
      </c>
      <c r="C100" s="539"/>
      <c r="D100" s="539"/>
      <c r="E100" s="539"/>
      <c r="F100" s="539"/>
      <c r="G100" s="134">
        <f t="shared" ref="G100:K100" si="41">G97+G99</f>
        <v>1077075</v>
      </c>
      <c r="H100" s="134">
        <f t="shared" si="41"/>
        <v>1258575</v>
      </c>
      <c r="I100" s="134">
        <f t="shared" si="41"/>
        <v>1197411.7390000001</v>
      </c>
      <c r="J100" s="134">
        <f>J97+J99</f>
        <v>0</v>
      </c>
      <c r="K100" s="134">
        <f t="shared" si="41"/>
        <v>1265075</v>
      </c>
      <c r="L100" s="362">
        <f t="shared" si="28"/>
        <v>1.174546805004294</v>
      </c>
      <c r="M100" s="184"/>
      <c r="N100" s="188"/>
      <c r="O100" s="187"/>
      <c r="P100" s="134">
        <f>P97+P99</f>
        <v>15100</v>
      </c>
    </row>
    <row r="101" spans="2:16" s="25" customFormat="1" x14ac:dyDescent="0.2">
      <c r="B101" s="547" t="s">
        <v>356</v>
      </c>
      <c r="C101" s="548">
        <v>8</v>
      </c>
      <c r="D101" s="548">
        <v>0</v>
      </c>
      <c r="E101" s="17">
        <v>20101001</v>
      </c>
      <c r="F101" s="7" t="s">
        <v>17</v>
      </c>
      <c r="G101" s="355">
        <v>1410000</v>
      </c>
      <c r="H101" s="355">
        <v>1410000</v>
      </c>
      <c r="I101" s="355">
        <v>1368814.5589999999</v>
      </c>
      <c r="J101" s="355">
        <v>0</v>
      </c>
      <c r="K101" s="137">
        <v>1470000</v>
      </c>
      <c r="L101" s="362">
        <f t="shared" si="28"/>
        <v>1.0425531914893618</v>
      </c>
      <c r="M101" s="161"/>
      <c r="N101" s="188"/>
      <c r="O101" s="187"/>
      <c r="P101" s="305">
        <v>0</v>
      </c>
    </row>
    <row r="102" spans="2:16" s="25" customFormat="1" x14ac:dyDescent="0.2">
      <c r="B102" s="547"/>
      <c r="C102" s="548"/>
      <c r="D102" s="548"/>
      <c r="E102" s="17">
        <v>20103001</v>
      </c>
      <c r="F102" s="7" t="s">
        <v>342</v>
      </c>
      <c r="G102" s="355">
        <v>280000</v>
      </c>
      <c r="H102" s="355">
        <v>275700</v>
      </c>
      <c r="I102" s="355">
        <v>274964.55</v>
      </c>
      <c r="J102" s="355">
        <v>0</v>
      </c>
      <c r="K102" s="137">
        <v>280000</v>
      </c>
      <c r="L102" s="362">
        <f t="shared" si="28"/>
        <v>1</v>
      </c>
      <c r="M102" s="161"/>
      <c r="N102" s="188"/>
      <c r="O102" s="187"/>
      <c r="P102" s="305">
        <v>0</v>
      </c>
    </row>
    <row r="103" spans="2:16" s="25" customFormat="1" x14ac:dyDescent="0.2">
      <c r="B103" s="547"/>
      <c r="C103" s="548"/>
      <c r="D103" s="548"/>
      <c r="E103" s="17">
        <v>23603002</v>
      </c>
      <c r="F103" s="7" t="s">
        <v>68</v>
      </c>
      <c r="G103" s="355">
        <v>75</v>
      </c>
      <c r="H103" s="355">
        <v>75</v>
      </c>
      <c r="I103" s="355">
        <v>75</v>
      </c>
      <c r="J103" s="355">
        <v>0</v>
      </c>
      <c r="K103" s="137">
        <v>75</v>
      </c>
      <c r="L103" s="362">
        <f t="shared" si="28"/>
        <v>1</v>
      </c>
      <c r="M103" s="161"/>
      <c r="N103" s="188"/>
      <c r="O103" s="187"/>
      <c r="P103" s="305">
        <v>150</v>
      </c>
    </row>
    <row r="104" spans="2:16" s="25" customFormat="1" x14ac:dyDescent="0.2">
      <c r="B104" s="547"/>
      <c r="C104" s="548"/>
      <c r="D104" s="548"/>
      <c r="E104" s="538" t="s">
        <v>344</v>
      </c>
      <c r="F104" s="538"/>
      <c r="G104" s="151">
        <f t="shared" ref="G104:K104" si="42">SUM(G101:G103)</f>
        <v>1690075</v>
      </c>
      <c r="H104" s="151">
        <f t="shared" si="42"/>
        <v>1685775</v>
      </c>
      <c r="I104" s="151">
        <f>SUM(I101:I103)</f>
        <v>1643854.1089999999</v>
      </c>
      <c r="J104" s="151">
        <f t="shared" si="42"/>
        <v>0</v>
      </c>
      <c r="K104" s="151">
        <f t="shared" si="42"/>
        <v>1750075</v>
      </c>
      <c r="L104" s="362">
        <f t="shared" si="28"/>
        <v>1.0355013830747155</v>
      </c>
      <c r="M104" s="184"/>
      <c r="N104" s="188"/>
      <c r="O104" s="187"/>
      <c r="P104" s="151">
        <f>SUM(P101:P103)</f>
        <v>150</v>
      </c>
    </row>
    <row r="105" spans="2:16" s="25" customFormat="1" x14ac:dyDescent="0.2">
      <c r="B105" s="547"/>
      <c r="C105" s="548"/>
      <c r="D105" s="548"/>
      <c r="E105" s="17">
        <v>25601001</v>
      </c>
      <c r="F105" s="7" t="s">
        <v>486</v>
      </c>
      <c r="G105" s="355">
        <v>30000</v>
      </c>
      <c r="H105" s="355">
        <v>2000</v>
      </c>
      <c r="I105" s="355">
        <v>1244</v>
      </c>
      <c r="J105" s="355">
        <v>0</v>
      </c>
      <c r="K105" s="137">
        <v>75000</v>
      </c>
      <c r="L105" s="362">
        <f t="shared" si="28"/>
        <v>2.5</v>
      </c>
      <c r="M105" s="161"/>
      <c r="N105" s="188"/>
      <c r="O105" s="187"/>
      <c r="P105" s="305">
        <v>150000</v>
      </c>
    </row>
    <row r="106" spans="2:16" s="25" customFormat="1" x14ac:dyDescent="0.2">
      <c r="B106" s="547"/>
      <c r="C106" s="548"/>
      <c r="D106" s="548"/>
      <c r="E106" s="29">
        <v>25602001</v>
      </c>
      <c r="F106" s="12" t="s">
        <v>145</v>
      </c>
      <c r="G106" s="355">
        <v>30000</v>
      </c>
      <c r="H106" s="355">
        <v>50000</v>
      </c>
      <c r="I106" s="355">
        <v>4063.6030000000001</v>
      </c>
      <c r="J106" s="355">
        <v>45288</v>
      </c>
      <c r="K106" s="137">
        <v>75000</v>
      </c>
      <c r="L106" s="362">
        <f t="shared" si="28"/>
        <v>2.5</v>
      </c>
      <c r="M106" s="161"/>
      <c r="N106" s="188"/>
      <c r="O106" s="187"/>
      <c r="P106" s="305">
        <v>150000</v>
      </c>
    </row>
    <row r="107" spans="2:16" s="25" customFormat="1" x14ac:dyDescent="0.2">
      <c r="B107" s="547"/>
      <c r="C107" s="548"/>
      <c r="D107" s="548"/>
      <c r="E107" s="29">
        <v>25603001</v>
      </c>
      <c r="F107" s="12" t="s">
        <v>489</v>
      </c>
      <c r="G107" s="355">
        <v>18137</v>
      </c>
      <c r="H107" s="355">
        <v>137</v>
      </c>
      <c r="I107" s="355">
        <v>0</v>
      </c>
      <c r="J107" s="355">
        <v>0</v>
      </c>
      <c r="K107" s="137">
        <v>30000</v>
      </c>
      <c r="L107" s="362">
        <f t="shared" si="28"/>
        <v>1.6540773005458456</v>
      </c>
      <c r="M107" s="161"/>
      <c r="N107" s="188"/>
      <c r="O107" s="187"/>
      <c r="P107" s="305">
        <v>30000</v>
      </c>
    </row>
    <row r="108" spans="2:16" s="25" customFormat="1" x14ac:dyDescent="0.2">
      <c r="B108" s="547"/>
      <c r="C108" s="548"/>
      <c r="D108" s="548"/>
      <c r="E108" s="439" t="s">
        <v>346</v>
      </c>
      <c r="F108" s="439"/>
      <c r="G108" s="144">
        <f t="shared" ref="G108:J108" si="43">SUM(G105:G107)</f>
        <v>78137</v>
      </c>
      <c r="H108" s="144">
        <f>SUM(H105:H107)</f>
        <v>52137</v>
      </c>
      <c r="I108" s="144">
        <f t="shared" si="43"/>
        <v>5307.6030000000001</v>
      </c>
      <c r="J108" s="144">
        <f t="shared" si="43"/>
        <v>45288</v>
      </c>
      <c r="K108" s="144">
        <f>SUM(K105:K107)</f>
        <v>180000</v>
      </c>
      <c r="L108" s="362">
        <f t="shared" si="28"/>
        <v>2.3036461599498317</v>
      </c>
      <c r="M108" s="184"/>
      <c r="N108" s="188"/>
      <c r="O108" s="187"/>
      <c r="P108" s="144">
        <f>SUM(P105:P107)</f>
        <v>330000</v>
      </c>
    </row>
    <row r="109" spans="2:16" s="25" customFormat="1" x14ac:dyDescent="0.2">
      <c r="B109" s="539" t="s">
        <v>345</v>
      </c>
      <c r="C109" s="539"/>
      <c r="D109" s="539"/>
      <c r="E109" s="539"/>
      <c r="F109" s="539"/>
      <c r="G109" s="134">
        <f t="shared" ref="G109:K109" si="44">G104+G108</f>
        <v>1768212</v>
      </c>
      <c r="H109" s="134">
        <f t="shared" si="44"/>
        <v>1737912</v>
      </c>
      <c r="I109" s="134">
        <f t="shared" si="44"/>
        <v>1649161.7119999998</v>
      </c>
      <c r="J109" s="134">
        <f t="shared" si="44"/>
        <v>45288</v>
      </c>
      <c r="K109" s="134">
        <f t="shared" si="44"/>
        <v>1930075</v>
      </c>
      <c r="L109" s="362">
        <f t="shared" si="28"/>
        <v>1.0915404940131612</v>
      </c>
      <c r="M109" s="184"/>
      <c r="N109" s="188"/>
      <c r="O109" s="187"/>
      <c r="P109" s="134">
        <f>P104+P108</f>
        <v>330150</v>
      </c>
    </row>
    <row r="110" spans="2:16" s="25" customFormat="1" x14ac:dyDescent="0.2">
      <c r="B110" s="547" t="s">
        <v>357</v>
      </c>
      <c r="C110" s="548">
        <v>9</v>
      </c>
      <c r="D110" s="548">
        <v>0</v>
      </c>
      <c r="E110" s="17">
        <v>20101001</v>
      </c>
      <c r="F110" s="7" t="s">
        <v>17</v>
      </c>
      <c r="G110" s="355">
        <v>302000</v>
      </c>
      <c r="H110" s="355">
        <v>302000</v>
      </c>
      <c r="I110" s="355">
        <v>289968.95400000003</v>
      </c>
      <c r="J110" s="355">
        <v>0</v>
      </c>
      <c r="K110" s="137">
        <v>315000</v>
      </c>
      <c r="L110" s="362">
        <f t="shared" si="28"/>
        <v>1.0430463576158941</v>
      </c>
      <c r="M110" s="161"/>
      <c r="N110" s="188"/>
      <c r="O110" s="187"/>
      <c r="P110" s="305">
        <v>0</v>
      </c>
    </row>
    <row r="111" spans="2:16" s="25" customFormat="1" x14ac:dyDescent="0.2">
      <c r="B111" s="547"/>
      <c r="C111" s="548"/>
      <c r="D111" s="548"/>
      <c r="E111" s="17">
        <v>20103001</v>
      </c>
      <c r="F111" s="7" t="s">
        <v>342</v>
      </c>
      <c r="G111" s="355">
        <v>52000</v>
      </c>
      <c r="H111" s="355">
        <v>52000</v>
      </c>
      <c r="I111" s="355">
        <v>49441.171999999999</v>
      </c>
      <c r="J111" s="355">
        <v>0</v>
      </c>
      <c r="K111" s="137">
        <v>52000</v>
      </c>
      <c r="L111" s="362">
        <f t="shared" si="28"/>
        <v>1</v>
      </c>
      <c r="M111" s="161"/>
      <c r="N111" s="188"/>
      <c r="O111" s="187"/>
      <c r="P111" s="305">
        <v>0</v>
      </c>
    </row>
    <row r="112" spans="2:16" s="25" customFormat="1" x14ac:dyDescent="0.2">
      <c r="B112" s="547"/>
      <c r="C112" s="548"/>
      <c r="D112" s="548"/>
      <c r="E112" s="17">
        <v>23603002</v>
      </c>
      <c r="F112" s="7" t="s">
        <v>68</v>
      </c>
      <c r="G112" s="355">
        <v>75</v>
      </c>
      <c r="H112" s="355">
        <v>75</v>
      </c>
      <c r="I112" s="355">
        <v>66.25</v>
      </c>
      <c r="J112" s="355">
        <v>0</v>
      </c>
      <c r="K112" s="137">
        <v>75</v>
      </c>
      <c r="L112" s="362">
        <f t="shared" si="28"/>
        <v>1</v>
      </c>
      <c r="M112" s="161"/>
      <c r="N112" s="188"/>
      <c r="O112" s="187"/>
      <c r="P112" s="305">
        <v>0</v>
      </c>
    </row>
    <row r="113" spans="2:16" s="25" customFormat="1" x14ac:dyDescent="0.2">
      <c r="B113" s="547"/>
      <c r="C113" s="548"/>
      <c r="D113" s="548"/>
      <c r="E113" s="538" t="s">
        <v>344</v>
      </c>
      <c r="F113" s="538"/>
      <c r="G113" s="151">
        <f t="shared" ref="G113:K113" si="45">SUM(G110:G112)</f>
        <v>354075</v>
      </c>
      <c r="H113" s="151">
        <f t="shared" si="45"/>
        <v>354075</v>
      </c>
      <c r="I113" s="151">
        <f>SUM(I110:I112)</f>
        <v>339476.37600000005</v>
      </c>
      <c r="J113" s="151">
        <f t="shared" si="45"/>
        <v>0</v>
      </c>
      <c r="K113" s="151">
        <f t="shared" si="45"/>
        <v>367075</v>
      </c>
      <c r="L113" s="362">
        <f t="shared" si="28"/>
        <v>1.0367153851585116</v>
      </c>
      <c r="M113" s="184"/>
      <c r="N113" s="188"/>
      <c r="O113" s="187"/>
      <c r="P113" s="151">
        <f>SUM(P110:P112)</f>
        <v>0</v>
      </c>
    </row>
    <row r="114" spans="2:16" s="25" customFormat="1" x14ac:dyDescent="0.2">
      <c r="B114" s="539" t="s">
        <v>345</v>
      </c>
      <c r="C114" s="539"/>
      <c r="D114" s="539"/>
      <c r="E114" s="539"/>
      <c r="F114" s="539"/>
      <c r="G114" s="134">
        <f t="shared" ref="G114:K114" si="46">G113</f>
        <v>354075</v>
      </c>
      <c r="H114" s="134">
        <f t="shared" si="46"/>
        <v>354075</v>
      </c>
      <c r="I114" s="134">
        <f t="shared" si="46"/>
        <v>339476.37600000005</v>
      </c>
      <c r="J114" s="134">
        <f t="shared" si="46"/>
        <v>0</v>
      </c>
      <c r="K114" s="134">
        <f t="shared" si="46"/>
        <v>367075</v>
      </c>
      <c r="L114" s="362">
        <f t="shared" si="28"/>
        <v>1.0367153851585116</v>
      </c>
      <c r="M114" s="184"/>
      <c r="N114" s="188"/>
      <c r="O114" s="187"/>
      <c r="P114" s="134">
        <f>P113</f>
        <v>0</v>
      </c>
    </row>
    <row r="115" spans="2:16" s="25" customFormat="1" x14ac:dyDescent="0.2">
      <c r="B115" s="553" t="s">
        <v>358</v>
      </c>
      <c r="C115" s="551">
        <v>10</v>
      </c>
      <c r="D115" s="551">
        <v>0</v>
      </c>
      <c r="E115" s="17">
        <v>20101001</v>
      </c>
      <c r="F115" s="7" t="s">
        <v>17</v>
      </c>
      <c r="G115" s="355">
        <v>252000</v>
      </c>
      <c r="H115" s="355">
        <v>266000</v>
      </c>
      <c r="I115" s="355">
        <v>265844.603</v>
      </c>
      <c r="J115" s="355">
        <v>0</v>
      </c>
      <c r="K115" s="137">
        <v>270000</v>
      </c>
      <c r="L115" s="362">
        <f t="shared" si="28"/>
        <v>1.0714285714285714</v>
      </c>
      <c r="M115" s="161"/>
      <c r="N115" s="188"/>
      <c r="O115" s="187"/>
      <c r="P115" s="305">
        <v>0</v>
      </c>
    </row>
    <row r="116" spans="2:16" s="25" customFormat="1" x14ac:dyDescent="0.2">
      <c r="B116" s="553"/>
      <c r="C116" s="551"/>
      <c r="D116" s="551"/>
      <c r="E116" s="17">
        <v>20103001</v>
      </c>
      <c r="F116" s="7" t="s">
        <v>342</v>
      </c>
      <c r="G116" s="355">
        <v>115000</v>
      </c>
      <c r="H116" s="355">
        <v>115000</v>
      </c>
      <c r="I116" s="355">
        <v>105138.671</v>
      </c>
      <c r="J116" s="355">
        <v>0</v>
      </c>
      <c r="K116" s="137">
        <v>110000</v>
      </c>
      <c r="L116" s="362">
        <f t="shared" si="28"/>
        <v>0.95652173913043481</v>
      </c>
      <c r="M116" s="161"/>
      <c r="N116" s="188"/>
      <c r="O116" s="187"/>
      <c r="P116" s="305">
        <v>0</v>
      </c>
    </row>
    <row r="117" spans="2:16" s="25" customFormat="1" x14ac:dyDescent="0.2">
      <c r="B117" s="553"/>
      <c r="C117" s="551"/>
      <c r="D117" s="551"/>
      <c r="E117" s="28">
        <v>22601001</v>
      </c>
      <c r="F117" s="10" t="s">
        <v>252</v>
      </c>
      <c r="G117" s="355">
        <v>5000</v>
      </c>
      <c r="H117" s="355">
        <v>5000</v>
      </c>
      <c r="I117" s="355">
        <v>0</v>
      </c>
      <c r="J117" s="355">
        <v>0</v>
      </c>
      <c r="K117" s="137">
        <v>5000</v>
      </c>
      <c r="L117" s="362">
        <f t="shared" si="28"/>
        <v>1</v>
      </c>
      <c r="M117" s="161"/>
      <c r="N117" s="188"/>
      <c r="O117" s="187"/>
      <c r="P117" s="305">
        <v>5000</v>
      </c>
    </row>
    <row r="118" spans="2:16" s="25" customFormat="1" x14ac:dyDescent="0.2">
      <c r="B118" s="553"/>
      <c r="C118" s="551"/>
      <c r="D118" s="551"/>
      <c r="E118" s="17">
        <v>23603002</v>
      </c>
      <c r="F118" s="7" t="s">
        <v>68</v>
      </c>
      <c r="G118" s="355">
        <v>75</v>
      </c>
      <c r="H118" s="355">
        <v>75</v>
      </c>
      <c r="I118" s="355">
        <v>69.25</v>
      </c>
      <c r="J118" s="355">
        <v>0</v>
      </c>
      <c r="K118" s="137">
        <v>75</v>
      </c>
      <c r="L118" s="362">
        <f t="shared" si="28"/>
        <v>1</v>
      </c>
      <c r="M118" s="161"/>
      <c r="N118" s="188"/>
      <c r="O118" s="187"/>
      <c r="P118" s="305">
        <v>75</v>
      </c>
    </row>
    <row r="119" spans="2:16" s="25" customFormat="1" x14ac:dyDescent="0.2">
      <c r="B119" s="553"/>
      <c r="C119" s="551"/>
      <c r="D119" s="551"/>
      <c r="E119" s="538" t="s">
        <v>344</v>
      </c>
      <c r="F119" s="538"/>
      <c r="G119" s="151">
        <f>SUM(G115:G118)</f>
        <v>372075</v>
      </c>
      <c r="H119" s="151">
        <f>SUM(H115:H118)</f>
        <v>386075</v>
      </c>
      <c r="I119" s="151">
        <f>SUM(I115:I118)</f>
        <v>371052.52399999998</v>
      </c>
      <c r="J119" s="151">
        <f>SUM(J115:J118)</f>
        <v>0</v>
      </c>
      <c r="K119" s="151">
        <f t="shared" ref="K119" si="47">SUM(K115:K118)</f>
        <v>385075</v>
      </c>
      <c r="L119" s="362">
        <f t="shared" si="28"/>
        <v>1.0349391923671303</v>
      </c>
      <c r="M119" s="184"/>
      <c r="N119" s="188"/>
      <c r="O119" s="187"/>
      <c r="P119" s="151">
        <f>SUM(P115:P118)</f>
        <v>5075</v>
      </c>
    </row>
    <row r="120" spans="2:16" s="25" customFormat="1" x14ac:dyDescent="0.2">
      <c r="B120" s="553"/>
      <c r="C120" s="551"/>
      <c r="D120" s="551"/>
      <c r="E120" s="17">
        <v>25601001</v>
      </c>
      <c r="F120" s="6" t="s">
        <v>486</v>
      </c>
      <c r="G120" s="355">
        <v>20000</v>
      </c>
      <c r="H120" s="355">
        <v>0</v>
      </c>
      <c r="I120" s="355">
        <v>0</v>
      </c>
      <c r="J120" s="355">
        <v>0</v>
      </c>
      <c r="K120" s="137">
        <v>50000</v>
      </c>
      <c r="L120" s="362">
        <f t="shared" si="28"/>
        <v>2.5</v>
      </c>
      <c r="M120" s="161"/>
      <c r="N120" s="188"/>
      <c r="O120" s="187"/>
      <c r="P120" s="305">
        <v>500000</v>
      </c>
    </row>
    <row r="121" spans="2:16" s="25" customFormat="1" x14ac:dyDescent="0.2">
      <c r="B121" s="553"/>
      <c r="C121" s="551"/>
      <c r="D121" s="551"/>
      <c r="E121" s="29">
        <v>25602001</v>
      </c>
      <c r="F121" s="12" t="s">
        <v>145</v>
      </c>
      <c r="G121" s="355">
        <v>3000</v>
      </c>
      <c r="H121" s="355">
        <v>3000</v>
      </c>
      <c r="I121" s="355">
        <v>0</v>
      </c>
      <c r="J121" s="355">
        <v>2714</v>
      </c>
      <c r="K121" s="137">
        <v>3000</v>
      </c>
      <c r="L121" s="362">
        <f t="shared" si="28"/>
        <v>1</v>
      </c>
      <c r="M121" s="161"/>
      <c r="N121" s="188"/>
      <c r="O121" s="187"/>
      <c r="P121" s="305">
        <v>4000</v>
      </c>
    </row>
    <row r="122" spans="2:16" s="25" customFormat="1" x14ac:dyDescent="0.2">
      <c r="B122" s="553"/>
      <c r="C122" s="551"/>
      <c r="D122" s="551"/>
      <c r="E122" s="29">
        <v>25603001</v>
      </c>
      <c r="F122" s="12" t="s">
        <v>481</v>
      </c>
      <c r="G122" s="355">
        <v>5000</v>
      </c>
      <c r="H122" s="355">
        <v>0</v>
      </c>
      <c r="I122" s="355">
        <v>0</v>
      </c>
      <c r="J122" s="355">
        <v>0</v>
      </c>
      <c r="K122" s="137">
        <v>5000</v>
      </c>
      <c r="L122" s="362">
        <f t="shared" si="28"/>
        <v>1</v>
      </c>
      <c r="M122" s="161"/>
      <c r="N122" s="188"/>
      <c r="O122" s="187"/>
      <c r="P122" s="305">
        <v>5000</v>
      </c>
    </row>
    <row r="123" spans="2:16" s="25" customFormat="1" x14ac:dyDescent="0.2">
      <c r="B123" s="553"/>
      <c r="C123" s="551"/>
      <c r="D123" s="551"/>
      <c r="E123" s="439" t="s">
        <v>346</v>
      </c>
      <c r="F123" s="439"/>
      <c r="G123" s="144">
        <f t="shared" ref="G123:K123" si="48">SUM(G120:G122)</f>
        <v>28000</v>
      </c>
      <c r="H123" s="144">
        <f t="shared" si="48"/>
        <v>3000</v>
      </c>
      <c r="I123" s="144">
        <f t="shared" si="48"/>
        <v>0</v>
      </c>
      <c r="J123" s="144">
        <f t="shared" si="48"/>
        <v>2714</v>
      </c>
      <c r="K123" s="144">
        <f t="shared" si="48"/>
        <v>58000</v>
      </c>
      <c r="L123" s="362">
        <f t="shared" si="28"/>
        <v>2.0714285714285716</v>
      </c>
      <c r="M123" s="184"/>
      <c r="N123" s="188"/>
      <c r="O123" s="187"/>
      <c r="P123" s="144">
        <f>SUM(P120:P122)</f>
        <v>509000</v>
      </c>
    </row>
    <row r="124" spans="2:16" s="25" customFormat="1" x14ac:dyDescent="0.2">
      <c r="B124" s="539" t="s">
        <v>345</v>
      </c>
      <c r="C124" s="539"/>
      <c r="D124" s="539"/>
      <c r="E124" s="539"/>
      <c r="F124" s="539"/>
      <c r="G124" s="134">
        <f t="shared" ref="G124:K124" si="49">G119+G123</f>
        <v>400075</v>
      </c>
      <c r="H124" s="134">
        <f t="shared" si="49"/>
        <v>389075</v>
      </c>
      <c r="I124" s="134">
        <f t="shared" si="49"/>
        <v>371052.52399999998</v>
      </c>
      <c r="J124" s="134">
        <f t="shared" si="49"/>
        <v>2714</v>
      </c>
      <c r="K124" s="134">
        <f t="shared" si="49"/>
        <v>443075</v>
      </c>
      <c r="L124" s="362">
        <f t="shared" si="28"/>
        <v>1.1074798475285883</v>
      </c>
      <c r="M124" s="184"/>
      <c r="N124" s="188"/>
      <c r="O124" s="187"/>
      <c r="P124" s="134">
        <f>P119+P123</f>
        <v>514075</v>
      </c>
    </row>
    <row r="125" spans="2:16" s="25" customFormat="1" x14ac:dyDescent="0.2">
      <c r="B125" s="553" t="s">
        <v>359</v>
      </c>
      <c r="C125" s="551">
        <v>11</v>
      </c>
      <c r="D125" s="551">
        <v>0</v>
      </c>
      <c r="E125" s="17">
        <v>20101001</v>
      </c>
      <c r="F125" s="7" t="s">
        <v>17</v>
      </c>
      <c r="G125" s="355">
        <v>245000</v>
      </c>
      <c r="H125" s="355">
        <v>245000</v>
      </c>
      <c r="I125" s="355">
        <v>230180.18299999999</v>
      </c>
      <c r="J125" s="355">
        <v>0</v>
      </c>
      <c r="K125" s="137">
        <v>250000</v>
      </c>
      <c r="L125" s="362">
        <f t="shared" si="28"/>
        <v>1.0204081632653061</v>
      </c>
      <c r="M125" s="161"/>
      <c r="N125" s="188"/>
      <c r="O125" s="187"/>
      <c r="P125" s="305">
        <v>0</v>
      </c>
    </row>
    <row r="126" spans="2:16" s="25" customFormat="1" x14ac:dyDescent="0.2">
      <c r="B126" s="553"/>
      <c r="C126" s="551"/>
      <c r="D126" s="551"/>
      <c r="E126" s="17">
        <v>20103001</v>
      </c>
      <c r="F126" s="7" t="s">
        <v>342</v>
      </c>
      <c r="G126" s="355">
        <v>16000</v>
      </c>
      <c r="H126" s="355">
        <v>29000</v>
      </c>
      <c r="I126" s="355">
        <v>28943.598000000002</v>
      </c>
      <c r="J126" s="355">
        <v>0</v>
      </c>
      <c r="K126" s="137">
        <v>30000</v>
      </c>
      <c r="L126" s="362">
        <f t="shared" si="28"/>
        <v>1.875</v>
      </c>
      <c r="M126" s="161"/>
      <c r="N126" s="188"/>
      <c r="O126" s="187"/>
      <c r="P126" s="305">
        <v>0</v>
      </c>
    </row>
    <row r="127" spans="2:16" s="25" customFormat="1" x14ac:dyDescent="0.2">
      <c r="B127" s="553"/>
      <c r="C127" s="551"/>
      <c r="D127" s="551"/>
      <c r="E127" s="17">
        <v>23603002</v>
      </c>
      <c r="F127" s="7" t="s">
        <v>68</v>
      </c>
      <c r="G127" s="355">
        <v>75</v>
      </c>
      <c r="H127" s="355">
        <v>75</v>
      </c>
      <c r="I127" s="355">
        <v>0</v>
      </c>
      <c r="J127" s="355">
        <v>0</v>
      </c>
      <c r="K127" s="137">
        <v>75</v>
      </c>
      <c r="L127" s="362">
        <f t="shared" si="28"/>
        <v>1</v>
      </c>
      <c r="M127" s="161"/>
      <c r="N127" s="188"/>
      <c r="O127" s="187"/>
      <c r="P127" s="305">
        <v>0</v>
      </c>
    </row>
    <row r="128" spans="2:16" s="25" customFormat="1" x14ac:dyDescent="0.2">
      <c r="B128" s="553"/>
      <c r="C128" s="551"/>
      <c r="D128" s="551"/>
      <c r="E128" s="538" t="s">
        <v>344</v>
      </c>
      <c r="F128" s="538"/>
      <c r="G128" s="151">
        <f t="shared" ref="G128:K128" si="50">SUM(G125:G127)</f>
        <v>261075</v>
      </c>
      <c r="H128" s="151">
        <f t="shared" si="50"/>
        <v>274075</v>
      </c>
      <c r="I128" s="151">
        <f>SUM(I125:I127)</f>
        <v>259123.78099999999</v>
      </c>
      <c r="J128" s="151">
        <f t="shared" si="50"/>
        <v>0</v>
      </c>
      <c r="K128" s="151">
        <f t="shared" si="50"/>
        <v>280075</v>
      </c>
      <c r="L128" s="362">
        <f t="shared" si="28"/>
        <v>1.0727760222158385</v>
      </c>
      <c r="M128" s="184"/>
      <c r="N128" s="188"/>
      <c r="O128" s="187"/>
      <c r="P128" s="151">
        <f>SUM(P125:P127)</f>
        <v>0</v>
      </c>
    </row>
    <row r="129" spans="2:16" s="25" customFormat="1" x14ac:dyDescent="0.2">
      <c r="B129" s="539" t="s">
        <v>345</v>
      </c>
      <c r="C129" s="539"/>
      <c r="D129" s="539"/>
      <c r="E129" s="539"/>
      <c r="F129" s="539"/>
      <c r="G129" s="134">
        <f t="shared" ref="G129:K129" si="51">G128</f>
        <v>261075</v>
      </c>
      <c r="H129" s="134">
        <f t="shared" si="51"/>
        <v>274075</v>
      </c>
      <c r="I129" s="134">
        <f t="shared" si="51"/>
        <v>259123.78099999999</v>
      </c>
      <c r="J129" s="134">
        <f t="shared" si="51"/>
        <v>0</v>
      </c>
      <c r="K129" s="134">
        <f t="shared" si="51"/>
        <v>280075</v>
      </c>
      <c r="L129" s="362">
        <f t="shared" si="28"/>
        <v>1.0727760222158385</v>
      </c>
      <c r="M129" s="184"/>
      <c r="N129" s="188"/>
      <c r="O129" s="187"/>
      <c r="P129" s="134">
        <f>P128</f>
        <v>0</v>
      </c>
    </row>
    <row r="130" spans="2:16" s="25" customFormat="1" x14ac:dyDescent="0.2">
      <c r="B130" s="547" t="s">
        <v>360</v>
      </c>
      <c r="C130" s="548">
        <v>12</v>
      </c>
      <c r="D130" s="548">
        <v>0</v>
      </c>
      <c r="E130" s="17">
        <v>20101001</v>
      </c>
      <c r="F130" s="7" t="s">
        <v>17</v>
      </c>
      <c r="G130" s="355">
        <v>373000</v>
      </c>
      <c r="H130" s="355">
        <v>420000</v>
      </c>
      <c r="I130" s="355">
        <v>343265.15500000003</v>
      </c>
      <c r="J130" s="355">
        <v>0</v>
      </c>
      <c r="K130" s="137">
        <v>400000</v>
      </c>
      <c r="L130" s="362">
        <f t="shared" si="28"/>
        <v>1.0723860589812333</v>
      </c>
      <c r="M130" s="161"/>
      <c r="N130" s="188"/>
      <c r="O130" s="187"/>
      <c r="P130" s="305">
        <v>0</v>
      </c>
    </row>
    <row r="131" spans="2:16" s="25" customFormat="1" x14ac:dyDescent="0.2">
      <c r="B131" s="547"/>
      <c r="C131" s="548"/>
      <c r="D131" s="548"/>
      <c r="E131" s="17">
        <v>20103001</v>
      </c>
      <c r="F131" s="7" t="s">
        <v>342</v>
      </c>
      <c r="G131" s="355">
        <v>213500</v>
      </c>
      <c r="H131" s="355">
        <v>230500</v>
      </c>
      <c r="I131" s="355">
        <v>230059.747</v>
      </c>
      <c r="J131" s="355">
        <v>0</v>
      </c>
      <c r="K131" s="137">
        <v>240000</v>
      </c>
      <c r="L131" s="362">
        <f t="shared" si="28"/>
        <v>1.1241217798594847</v>
      </c>
      <c r="M131" s="161"/>
      <c r="N131" s="188"/>
      <c r="O131" s="187"/>
      <c r="P131" s="305">
        <v>0</v>
      </c>
    </row>
    <row r="132" spans="2:16" s="25" customFormat="1" x14ac:dyDescent="0.2">
      <c r="B132" s="547"/>
      <c r="C132" s="548"/>
      <c r="D132" s="548"/>
      <c r="E132" s="17">
        <v>22601001</v>
      </c>
      <c r="F132" s="7" t="s">
        <v>252</v>
      </c>
      <c r="G132" s="355">
        <v>2000</v>
      </c>
      <c r="H132" s="355">
        <v>2000</v>
      </c>
      <c r="I132" s="355">
        <v>0</v>
      </c>
      <c r="J132" s="355">
        <v>0</v>
      </c>
      <c r="K132" s="137">
        <v>2000</v>
      </c>
      <c r="L132" s="362">
        <f t="shared" si="28"/>
        <v>1</v>
      </c>
      <c r="M132" s="161"/>
      <c r="N132" s="188"/>
      <c r="O132" s="187"/>
      <c r="P132" s="305">
        <v>5000</v>
      </c>
    </row>
    <row r="133" spans="2:16" s="25" customFormat="1" x14ac:dyDescent="0.2">
      <c r="B133" s="547"/>
      <c r="C133" s="548"/>
      <c r="D133" s="548"/>
      <c r="E133" s="17">
        <v>23603002</v>
      </c>
      <c r="F133" s="7" t="s">
        <v>68</v>
      </c>
      <c r="G133" s="355">
        <v>75</v>
      </c>
      <c r="H133" s="355">
        <v>75</v>
      </c>
      <c r="I133" s="355">
        <v>75</v>
      </c>
      <c r="J133" s="355">
        <v>0</v>
      </c>
      <c r="K133" s="137">
        <v>75</v>
      </c>
      <c r="L133" s="362">
        <f t="shared" ref="L133:L196" si="52">IFERROR(K133/G133,"")</f>
        <v>1</v>
      </c>
      <c r="M133" s="161"/>
      <c r="N133" s="188"/>
      <c r="O133" s="187"/>
      <c r="P133" s="305">
        <v>1000</v>
      </c>
    </row>
    <row r="134" spans="2:16" s="25" customFormat="1" x14ac:dyDescent="0.2">
      <c r="B134" s="547"/>
      <c r="C134" s="548"/>
      <c r="D134" s="548"/>
      <c r="E134" s="538" t="s">
        <v>344</v>
      </c>
      <c r="F134" s="538"/>
      <c r="G134" s="151">
        <f t="shared" ref="G134:K134" si="53">SUM(G130:G133)</f>
        <v>588575</v>
      </c>
      <c r="H134" s="151">
        <f t="shared" si="53"/>
        <v>652575</v>
      </c>
      <c r="I134" s="151">
        <f>SUM(I130:I133)</f>
        <v>573399.902</v>
      </c>
      <c r="J134" s="151">
        <f t="shared" si="53"/>
        <v>0</v>
      </c>
      <c r="K134" s="151">
        <f t="shared" si="53"/>
        <v>642075</v>
      </c>
      <c r="L134" s="362">
        <f t="shared" si="52"/>
        <v>1.0908975066898865</v>
      </c>
      <c r="M134" s="184"/>
      <c r="N134" s="188"/>
      <c r="O134" s="187"/>
      <c r="P134" s="151">
        <f>SUM(P130:P133)</f>
        <v>6000</v>
      </c>
    </row>
    <row r="135" spans="2:16" s="25" customFormat="1" x14ac:dyDescent="0.2">
      <c r="B135" s="547"/>
      <c r="C135" s="548"/>
      <c r="D135" s="548"/>
      <c r="E135" s="17">
        <v>25601001</v>
      </c>
      <c r="F135" s="7" t="s">
        <v>486</v>
      </c>
      <c r="G135" s="355">
        <v>25000</v>
      </c>
      <c r="H135" s="355">
        <v>11000</v>
      </c>
      <c r="I135" s="355">
        <v>0</v>
      </c>
      <c r="J135" s="355">
        <v>10550</v>
      </c>
      <c r="K135" s="137">
        <v>50000</v>
      </c>
      <c r="L135" s="362">
        <f t="shared" si="52"/>
        <v>2</v>
      </c>
      <c r="M135" s="161"/>
      <c r="N135" s="188"/>
      <c r="O135" s="187"/>
      <c r="P135" s="305">
        <v>250000</v>
      </c>
    </row>
    <row r="136" spans="2:16" s="25" customFormat="1" x14ac:dyDescent="0.2">
      <c r="B136" s="547"/>
      <c r="C136" s="548"/>
      <c r="D136" s="548"/>
      <c r="E136" s="29">
        <v>25602001</v>
      </c>
      <c r="F136" s="12" t="s">
        <v>145</v>
      </c>
      <c r="G136" s="355">
        <v>5000</v>
      </c>
      <c r="H136" s="355">
        <v>2000</v>
      </c>
      <c r="I136" s="355">
        <v>1035.6389999999999</v>
      </c>
      <c r="J136" s="355">
        <v>724</v>
      </c>
      <c r="K136" s="137">
        <v>10000</v>
      </c>
      <c r="L136" s="362">
        <f t="shared" si="52"/>
        <v>2</v>
      </c>
      <c r="M136" s="161"/>
      <c r="N136" s="188"/>
      <c r="O136" s="187"/>
      <c r="P136" s="305">
        <v>10000</v>
      </c>
    </row>
    <row r="137" spans="2:16" s="25" customFormat="1" x14ac:dyDescent="0.2">
      <c r="B137" s="547"/>
      <c r="C137" s="548"/>
      <c r="D137" s="548"/>
      <c r="E137" s="121">
        <v>25603001</v>
      </c>
      <c r="F137" s="59" t="s">
        <v>481</v>
      </c>
      <c r="G137" s="355"/>
      <c r="H137" s="355"/>
      <c r="I137" s="355"/>
      <c r="J137" s="355"/>
      <c r="K137" s="137">
        <v>10000</v>
      </c>
      <c r="L137" s="362" t="str">
        <f t="shared" si="52"/>
        <v/>
      </c>
      <c r="M137" s="161"/>
      <c r="N137" s="188"/>
      <c r="O137" s="187"/>
      <c r="P137" s="132">
        <v>10000</v>
      </c>
    </row>
    <row r="138" spans="2:16" s="25" customFormat="1" x14ac:dyDescent="0.2">
      <c r="B138" s="547"/>
      <c r="C138" s="548"/>
      <c r="D138" s="548"/>
      <c r="E138" s="439" t="s">
        <v>346</v>
      </c>
      <c r="F138" s="439"/>
      <c r="G138" s="144">
        <f>SUM(G135:G137)</f>
        <v>30000</v>
      </c>
      <c r="H138" s="144">
        <f t="shared" ref="H138:K138" si="54">SUM(H135:H137)</f>
        <v>13000</v>
      </c>
      <c r="I138" s="144">
        <f t="shared" si="54"/>
        <v>1035.6389999999999</v>
      </c>
      <c r="J138" s="144">
        <f t="shared" si="54"/>
        <v>11274</v>
      </c>
      <c r="K138" s="144">
        <f t="shared" si="54"/>
        <v>70000</v>
      </c>
      <c r="L138" s="362">
        <f t="shared" si="52"/>
        <v>2.3333333333333335</v>
      </c>
      <c r="M138" s="184"/>
      <c r="N138" s="188"/>
      <c r="O138" s="187"/>
      <c r="P138" s="144">
        <f>SUM(P135:P137)</f>
        <v>270000</v>
      </c>
    </row>
    <row r="139" spans="2:16" s="25" customFormat="1" x14ac:dyDescent="0.2">
      <c r="B139" s="547"/>
      <c r="C139" s="548"/>
      <c r="D139" s="548"/>
      <c r="E139" s="17">
        <v>26301016</v>
      </c>
      <c r="F139" s="6" t="s">
        <v>487</v>
      </c>
      <c r="G139" s="355">
        <v>350000</v>
      </c>
      <c r="H139" s="355">
        <v>350000</v>
      </c>
      <c r="I139" s="355">
        <v>0</v>
      </c>
      <c r="J139" s="355">
        <v>0</v>
      </c>
      <c r="K139" s="137">
        <v>5000</v>
      </c>
      <c r="L139" s="362">
        <f t="shared" si="52"/>
        <v>1.4285714285714285E-2</v>
      </c>
      <c r="M139" s="161"/>
      <c r="N139" s="188"/>
      <c r="O139" s="187"/>
      <c r="P139" s="305">
        <v>200000</v>
      </c>
    </row>
    <row r="140" spans="2:16" s="25" customFormat="1" x14ac:dyDescent="0.2">
      <c r="B140" s="547"/>
      <c r="C140" s="548"/>
      <c r="D140" s="548"/>
      <c r="E140" s="459" t="s">
        <v>347</v>
      </c>
      <c r="F140" s="459"/>
      <c r="G140" s="138">
        <f>SUM(G139:G139)</f>
        <v>350000</v>
      </c>
      <c r="H140" s="138">
        <f t="shared" ref="H140:K140" si="55">SUM(H139:H139)</f>
        <v>350000</v>
      </c>
      <c r="I140" s="138">
        <f t="shared" si="55"/>
        <v>0</v>
      </c>
      <c r="J140" s="138">
        <f t="shared" si="55"/>
        <v>0</v>
      </c>
      <c r="K140" s="138">
        <f t="shared" si="55"/>
        <v>5000</v>
      </c>
      <c r="L140" s="362">
        <f t="shared" si="52"/>
        <v>1.4285714285714285E-2</v>
      </c>
      <c r="M140" s="184"/>
      <c r="N140" s="188"/>
      <c r="O140" s="187"/>
      <c r="P140" s="138">
        <f>SUM(P139:P139)</f>
        <v>200000</v>
      </c>
    </row>
    <row r="141" spans="2:16" s="25" customFormat="1" x14ac:dyDescent="0.2">
      <c r="B141" s="539" t="s">
        <v>345</v>
      </c>
      <c r="C141" s="539"/>
      <c r="D141" s="539"/>
      <c r="E141" s="539"/>
      <c r="F141" s="539"/>
      <c r="G141" s="134">
        <f t="shared" ref="G141:K141" si="56">G134+G138+G140</f>
        <v>968575</v>
      </c>
      <c r="H141" s="134">
        <f t="shared" si="56"/>
        <v>1015575</v>
      </c>
      <c r="I141" s="134">
        <f t="shared" si="56"/>
        <v>574435.54099999997</v>
      </c>
      <c r="J141" s="134">
        <f t="shared" si="56"/>
        <v>11274</v>
      </c>
      <c r="K141" s="134">
        <f t="shared" si="56"/>
        <v>717075</v>
      </c>
      <c r="L141" s="362">
        <f t="shared" si="52"/>
        <v>0.74034019048602329</v>
      </c>
      <c r="M141" s="184"/>
      <c r="N141" s="188"/>
      <c r="O141" s="187"/>
      <c r="P141" s="134">
        <f>P134+P138+P140</f>
        <v>476000</v>
      </c>
    </row>
    <row r="142" spans="2:16" s="25" customFormat="1" x14ac:dyDescent="0.2">
      <c r="B142" s="553" t="s">
        <v>431</v>
      </c>
      <c r="C142" s="551">
        <v>13</v>
      </c>
      <c r="D142" s="551">
        <v>0</v>
      </c>
      <c r="E142" s="17">
        <v>20103001</v>
      </c>
      <c r="F142" s="7" t="s">
        <v>342</v>
      </c>
      <c r="G142" s="355">
        <v>20000</v>
      </c>
      <c r="H142" s="355">
        <v>20000</v>
      </c>
      <c r="I142" s="355">
        <v>14820.51</v>
      </c>
      <c r="J142" s="355">
        <v>0</v>
      </c>
      <c r="K142" s="137">
        <v>20000</v>
      </c>
      <c r="L142" s="362">
        <f t="shared" si="52"/>
        <v>1</v>
      </c>
      <c r="M142" s="161"/>
      <c r="N142" s="188"/>
      <c r="O142" s="187"/>
      <c r="P142" s="305">
        <v>0</v>
      </c>
    </row>
    <row r="143" spans="2:16" s="25" customFormat="1" x14ac:dyDescent="0.2">
      <c r="B143" s="553"/>
      <c r="C143" s="551"/>
      <c r="D143" s="551"/>
      <c r="E143" s="17">
        <v>23603002</v>
      </c>
      <c r="F143" s="7" t="s">
        <v>68</v>
      </c>
      <c r="G143" s="355">
        <v>75</v>
      </c>
      <c r="H143" s="355">
        <v>75</v>
      </c>
      <c r="I143" s="355">
        <v>75</v>
      </c>
      <c r="J143" s="355">
        <v>0</v>
      </c>
      <c r="K143" s="137">
        <v>75</v>
      </c>
      <c r="L143" s="362">
        <f t="shared" si="52"/>
        <v>1</v>
      </c>
      <c r="M143" s="161"/>
      <c r="N143" s="188"/>
      <c r="O143" s="187"/>
      <c r="P143" s="305">
        <v>0</v>
      </c>
    </row>
    <row r="144" spans="2:16" s="25" customFormat="1" x14ac:dyDescent="0.2">
      <c r="B144" s="553"/>
      <c r="C144" s="551"/>
      <c r="D144" s="551"/>
      <c r="E144" s="538" t="s">
        <v>344</v>
      </c>
      <c r="F144" s="538"/>
      <c r="G144" s="151">
        <f t="shared" ref="G144:K144" si="57">SUM(G142:G143)</f>
        <v>20075</v>
      </c>
      <c r="H144" s="151">
        <f t="shared" si="57"/>
        <v>20075</v>
      </c>
      <c r="I144" s="151">
        <f>SUM(I142:I143)</f>
        <v>14895.51</v>
      </c>
      <c r="J144" s="151">
        <f t="shared" si="57"/>
        <v>0</v>
      </c>
      <c r="K144" s="151">
        <f t="shared" si="57"/>
        <v>20075</v>
      </c>
      <c r="L144" s="362">
        <f t="shared" si="52"/>
        <v>1</v>
      </c>
      <c r="M144" s="184"/>
      <c r="N144" s="188"/>
      <c r="O144" s="187"/>
      <c r="P144" s="151">
        <f>SUM(P142:P143)</f>
        <v>0</v>
      </c>
    </row>
    <row r="145" spans="2:16" s="25" customFormat="1" x14ac:dyDescent="0.2">
      <c r="B145" s="539" t="s">
        <v>345</v>
      </c>
      <c r="C145" s="539"/>
      <c r="D145" s="539"/>
      <c r="E145" s="539"/>
      <c r="F145" s="539"/>
      <c r="G145" s="134">
        <f t="shared" ref="G145:K145" si="58">G144</f>
        <v>20075</v>
      </c>
      <c r="H145" s="134">
        <f t="shared" si="58"/>
        <v>20075</v>
      </c>
      <c r="I145" s="134">
        <f t="shared" si="58"/>
        <v>14895.51</v>
      </c>
      <c r="J145" s="134">
        <f t="shared" si="58"/>
        <v>0</v>
      </c>
      <c r="K145" s="134">
        <f t="shared" si="58"/>
        <v>20075</v>
      </c>
      <c r="L145" s="362">
        <f t="shared" si="52"/>
        <v>1</v>
      </c>
      <c r="M145" s="184"/>
      <c r="N145" s="188"/>
      <c r="O145" s="187"/>
      <c r="P145" s="134">
        <f>P144</f>
        <v>0</v>
      </c>
    </row>
    <row r="146" spans="2:16" s="25" customFormat="1" x14ac:dyDescent="0.2">
      <c r="B146" s="554" t="s">
        <v>361</v>
      </c>
      <c r="C146" s="555">
        <v>15</v>
      </c>
      <c r="D146" s="555">
        <v>0</v>
      </c>
      <c r="E146" s="17">
        <v>20103001</v>
      </c>
      <c r="F146" s="7" t="s">
        <v>342</v>
      </c>
      <c r="G146" s="355">
        <v>32000</v>
      </c>
      <c r="H146" s="355">
        <v>32000</v>
      </c>
      <c r="I146" s="355">
        <v>22150.242999999999</v>
      </c>
      <c r="J146" s="355">
        <v>0</v>
      </c>
      <c r="K146" s="137">
        <v>30000</v>
      </c>
      <c r="L146" s="362">
        <f t="shared" si="52"/>
        <v>0.9375</v>
      </c>
      <c r="M146" s="161"/>
      <c r="N146" s="188"/>
      <c r="O146" s="187"/>
      <c r="P146" s="305">
        <v>0</v>
      </c>
    </row>
    <row r="147" spans="2:16" s="25" customFormat="1" x14ac:dyDescent="0.2">
      <c r="B147" s="554"/>
      <c r="C147" s="555"/>
      <c r="D147" s="555"/>
      <c r="E147" s="17">
        <v>22601001</v>
      </c>
      <c r="F147" s="7" t="s">
        <v>252</v>
      </c>
      <c r="G147" s="355">
        <v>1000</v>
      </c>
      <c r="H147" s="355">
        <v>1000</v>
      </c>
      <c r="I147" s="355">
        <v>0</v>
      </c>
      <c r="J147" s="355">
        <v>0</v>
      </c>
      <c r="K147" s="137">
        <v>1000</v>
      </c>
      <c r="L147" s="362">
        <f t="shared" si="52"/>
        <v>1</v>
      </c>
      <c r="M147" s="161"/>
      <c r="N147" s="188"/>
      <c r="O147" s="187"/>
      <c r="P147" s="305">
        <v>4000</v>
      </c>
    </row>
    <row r="148" spans="2:16" s="25" customFormat="1" x14ac:dyDescent="0.2">
      <c r="B148" s="554"/>
      <c r="C148" s="555"/>
      <c r="D148" s="555"/>
      <c r="E148" s="17">
        <v>23603002</v>
      </c>
      <c r="F148" s="7" t="s">
        <v>68</v>
      </c>
      <c r="G148" s="355">
        <v>75</v>
      </c>
      <c r="H148" s="355">
        <v>75</v>
      </c>
      <c r="I148" s="355">
        <v>75</v>
      </c>
      <c r="J148" s="355">
        <v>0</v>
      </c>
      <c r="K148" s="137">
        <v>75</v>
      </c>
      <c r="L148" s="362">
        <f t="shared" si="52"/>
        <v>1</v>
      </c>
      <c r="M148" s="161"/>
      <c r="N148" s="188"/>
      <c r="O148" s="187"/>
      <c r="P148" s="305">
        <v>75</v>
      </c>
    </row>
    <row r="149" spans="2:16" s="25" customFormat="1" x14ac:dyDescent="0.2">
      <c r="B149" s="554"/>
      <c r="C149" s="555"/>
      <c r="D149" s="555"/>
      <c r="E149" s="17">
        <v>23615001</v>
      </c>
      <c r="F149" s="7" t="s">
        <v>74</v>
      </c>
      <c r="G149" s="355">
        <v>1000</v>
      </c>
      <c r="H149" s="355">
        <v>1000</v>
      </c>
      <c r="I149" s="355">
        <v>0</v>
      </c>
      <c r="J149" s="355">
        <v>0</v>
      </c>
      <c r="K149" s="137">
        <v>1000</v>
      </c>
      <c r="L149" s="362">
        <f t="shared" si="52"/>
        <v>1</v>
      </c>
      <c r="M149" s="161"/>
      <c r="N149" s="188"/>
      <c r="O149" s="187"/>
      <c r="P149" s="305">
        <v>3000</v>
      </c>
    </row>
    <row r="150" spans="2:16" s="25" customFormat="1" x14ac:dyDescent="0.2">
      <c r="B150" s="554"/>
      <c r="C150" s="555"/>
      <c r="D150" s="555"/>
      <c r="E150" s="538" t="s">
        <v>344</v>
      </c>
      <c r="F150" s="538"/>
      <c r="G150" s="151">
        <f t="shared" ref="G150:K150" si="59">SUM(G146:G149)</f>
        <v>34075</v>
      </c>
      <c r="H150" s="151">
        <f t="shared" si="59"/>
        <v>34075</v>
      </c>
      <c r="I150" s="151">
        <f>SUM(I146:I149)</f>
        <v>22225.242999999999</v>
      </c>
      <c r="J150" s="151">
        <f t="shared" si="59"/>
        <v>0</v>
      </c>
      <c r="K150" s="151">
        <f t="shared" si="59"/>
        <v>32075</v>
      </c>
      <c r="L150" s="362">
        <f t="shared" si="52"/>
        <v>0.94130594277329416</v>
      </c>
      <c r="M150" s="184"/>
      <c r="N150" s="188"/>
      <c r="O150" s="187"/>
      <c r="P150" s="151">
        <f>SUM(P146:P149)</f>
        <v>7075</v>
      </c>
    </row>
    <row r="151" spans="2:16" s="25" customFormat="1" x14ac:dyDescent="0.2">
      <c r="B151" s="554"/>
      <c r="C151" s="555"/>
      <c r="D151" s="555"/>
      <c r="E151" s="17">
        <v>25301002</v>
      </c>
      <c r="F151" s="7" t="s">
        <v>98</v>
      </c>
      <c r="G151" s="355">
        <v>10000</v>
      </c>
      <c r="H151" s="355">
        <v>10000</v>
      </c>
      <c r="I151" s="355">
        <v>0</v>
      </c>
      <c r="J151" s="355">
        <v>0</v>
      </c>
      <c r="K151" s="137">
        <v>10000</v>
      </c>
      <c r="L151" s="362">
        <f t="shared" si="52"/>
        <v>1</v>
      </c>
      <c r="M151" s="161"/>
      <c r="N151" s="188"/>
      <c r="O151" s="187"/>
      <c r="P151" s="305">
        <v>20000</v>
      </c>
    </row>
    <row r="152" spans="2:16" s="25" customFormat="1" x14ac:dyDescent="0.2">
      <c r="B152" s="554"/>
      <c r="C152" s="555"/>
      <c r="D152" s="555"/>
      <c r="E152" s="439" t="s">
        <v>346</v>
      </c>
      <c r="F152" s="439"/>
      <c r="G152" s="144">
        <f t="shared" ref="G152:K152" si="60">SUM(G151)</f>
        <v>10000</v>
      </c>
      <c r="H152" s="144">
        <f t="shared" si="60"/>
        <v>10000</v>
      </c>
      <c r="I152" s="144">
        <f t="shared" si="60"/>
        <v>0</v>
      </c>
      <c r="J152" s="144">
        <f t="shared" si="60"/>
        <v>0</v>
      </c>
      <c r="K152" s="144">
        <f t="shared" si="60"/>
        <v>10000</v>
      </c>
      <c r="L152" s="362">
        <f t="shared" si="52"/>
        <v>1</v>
      </c>
      <c r="M152" s="184"/>
      <c r="N152" s="188"/>
      <c r="O152" s="187"/>
      <c r="P152" s="144">
        <f>SUM(P151)</f>
        <v>20000</v>
      </c>
    </row>
    <row r="153" spans="2:16" s="25" customFormat="1" x14ac:dyDescent="0.2">
      <c r="B153" s="539" t="s">
        <v>345</v>
      </c>
      <c r="C153" s="539"/>
      <c r="D153" s="539"/>
      <c r="E153" s="539"/>
      <c r="F153" s="539"/>
      <c r="G153" s="134">
        <f t="shared" ref="G153:K153" si="61">G150+G152</f>
        <v>44075</v>
      </c>
      <c r="H153" s="134">
        <f t="shared" si="61"/>
        <v>44075</v>
      </c>
      <c r="I153" s="134">
        <f t="shared" si="61"/>
        <v>22225.242999999999</v>
      </c>
      <c r="J153" s="134">
        <f t="shared" si="61"/>
        <v>0</v>
      </c>
      <c r="K153" s="134">
        <f t="shared" si="61"/>
        <v>42075</v>
      </c>
      <c r="L153" s="362">
        <f t="shared" si="52"/>
        <v>0.95462280204197392</v>
      </c>
      <c r="M153" s="184"/>
      <c r="N153" s="188"/>
      <c r="O153" s="187"/>
      <c r="P153" s="134">
        <f>P150+P152</f>
        <v>27075</v>
      </c>
    </row>
    <row r="154" spans="2:16" s="25" customFormat="1" x14ac:dyDescent="0.2">
      <c r="B154" s="547" t="s">
        <v>464</v>
      </c>
      <c r="C154" s="548">
        <v>16</v>
      </c>
      <c r="D154" s="548">
        <v>0</v>
      </c>
      <c r="E154" s="17">
        <v>20103001</v>
      </c>
      <c r="F154" s="7" t="s">
        <v>342</v>
      </c>
      <c r="G154" s="355">
        <v>12000</v>
      </c>
      <c r="H154" s="355">
        <v>12000</v>
      </c>
      <c r="I154" s="355">
        <v>7066.6189999999997</v>
      </c>
      <c r="J154" s="355">
        <v>0</v>
      </c>
      <c r="K154" s="137">
        <v>10000</v>
      </c>
      <c r="L154" s="362">
        <f t="shared" si="52"/>
        <v>0.83333333333333337</v>
      </c>
      <c r="M154" s="161"/>
      <c r="N154" s="188"/>
      <c r="O154" s="187"/>
      <c r="P154" s="305">
        <v>0</v>
      </c>
    </row>
    <row r="155" spans="2:16" s="25" customFormat="1" x14ac:dyDescent="0.2">
      <c r="B155" s="547"/>
      <c r="C155" s="548"/>
      <c r="D155" s="548"/>
      <c r="E155" s="17">
        <v>23603002</v>
      </c>
      <c r="F155" s="7" t="s">
        <v>68</v>
      </c>
      <c r="G155" s="355">
        <v>75</v>
      </c>
      <c r="H155" s="355">
        <v>75</v>
      </c>
      <c r="I155" s="355">
        <v>0</v>
      </c>
      <c r="J155" s="355">
        <v>0</v>
      </c>
      <c r="K155" s="137">
        <v>75</v>
      </c>
      <c r="L155" s="362">
        <f t="shared" si="52"/>
        <v>1</v>
      </c>
      <c r="M155" s="161"/>
      <c r="N155" s="188"/>
      <c r="O155" s="187"/>
      <c r="P155" s="305">
        <v>100</v>
      </c>
    </row>
    <row r="156" spans="2:16" s="25" customFormat="1" x14ac:dyDescent="0.2">
      <c r="B156" s="547"/>
      <c r="C156" s="548"/>
      <c r="D156" s="548"/>
      <c r="E156" s="538" t="s">
        <v>344</v>
      </c>
      <c r="F156" s="538"/>
      <c r="G156" s="151">
        <f t="shared" ref="G156:K156" si="62">SUM(G154:G155)</f>
        <v>12075</v>
      </c>
      <c r="H156" s="151">
        <f t="shared" si="62"/>
        <v>12075</v>
      </c>
      <c r="I156" s="151">
        <f>SUM(I154:I155)</f>
        <v>7066.6189999999997</v>
      </c>
      <c r="J156" s="151">
        <f t="shared" si="62"/>
        <v>0</v>
      </c>
      <c r="K156" s="151">
        <f t="shared" si="62"/>
        <v>10075</v>
      </c>
      <c r="L156" s="362">
        <f t="shared" si="52"/>
        <v>0.83436853002070388</v>
      </c>
      <c r="M156" s="184"/>
      <c r="N156" s="188"/>
      <c r="O156" s="187"/>
      <c r="P156" s="151">
        <f>SUM(P154:P155)</f>
        <v>100</v>
      </c>
    </row>
    <row r="157" spans="2:16" s="25" customFormat="1" x14ac:dyDescent="0.2">
      <c r="B157" s="539" t="s">
        <v>345</v>
      </c>
      <c r="C157" s="539"/>
      <c r="D157" s="539"/>
      <c r="E157" s="539"/>
      <c r="F157" s="539"/>
      <c r="G157" s="134">
        <f t="shared" ref="G157:K157" si="63">G156</f>
        <v>12075</v>
      </c>
      <c r="H157" s="134">
        <f t="shared" si="63"/>
        <v>12075</v>
      </c>
      <c r="I157" s="134">
        <f t="shared" si="63"/>
        <v>7066.6189999999997</v>
      </c>
      <c r="J157" s="134">
        <f t="shared" si="63"/>
        <v>0</v>
      </c>
      <c r="K157" s="134">
        <f t="shared" si="63"/>
        <v>10075</v>
      </c>
      <c r="L157" s="362">
        <f t="shared" si="52"/>
        <v>0.83436853002070388</v>
      </c>
      <c r="M157" s="184"/>
      <c r="N157" s="188"/>
      <c r="O157" s="187"/>
      <c r="P157" s="134">
        <f>P156</f>
        <v>100</v>
      </c>
    </row>
    <row r="158" spans="2:16" s="25" customFormat="1" x14ac:dyDescent="0.2">
      <c r="B158" s="558" t="s">
        <v>362</v>
      </c>
      <c r="C158" s="559">
        <v>20</v>
      </c>
      <c r="D158" s="559">
        <v>0</v>
      </c>
      <c r="E158" s="17">
        <v>20103001</v>
      </c>
      <c r="F158" s="7" t="s">
        <v>342</v>
      </c>
      <c r="G158" s="355">
        <v>45000</v>
      </c>
      <c r="H158" s="355">
        <v>45000</v>
      </c>
      <c r="I158" s="355">
        <v>41150.267</v>
      </c>
      <c r="J158" s="355">
        <v>0</v>
      </c>
      <c r="K158" s="137">
        <v>45000</v>
      </c>
      <c r="L158" s="362">
        <f t="shared" si="52"/>
        <v>1</v>
      </c>
      <c r="M158" s="161"/>
      <c r="N158" s="188"/>
      <c r="O158" s="187"/>
      <c r="P158" s="305">
        <v>0</v>
      </c>
    </row>
    <row r="159" spans="2:16" s="25" customFormat="1" x14ac:dyDescent="0.2">
      <c r="B159" s="558"/>
      <c r="C159" s="559"/>
      <c r="D159" s="559"/>
      <c r="E159" s="17">
        <v>23603002</v>
      </c>
      <c r="F159" s="7" t="s">
        <v>68</v>
      </c>
      <c r="G159" s="355">
        <v>75</v>
      </c>
      <c r="H159" s="355">
        <v>75</v>
      </c>
      <c r="I159" s="355">
        <v>72.14</v>
      </c>
      <c r="J159" s="355">
        <v>0</v>
      </c>
      <c r="K159" s="137">
        <v>75</v>
      </c>
      <c r="L159" s="362">
        <f t="shared" si="52"/>
        <v>1</v>
      </c>
      <c r="M159" s="161"/>
      <c r="N159" s="188"/>
      <c r="O159" s="187"/>
      <c r="P159" s="305">
        <v>75</v>
      </c>
    </row>
    <row r="160" spans="2:16" s="25" customFormat="1" x14ac:dyDescent="0.2">
      <c r="B160" s="558"/>
      <c r="C160" s="559"/>
      <c r="D160" s="559"/>
      <c r="E160" s="538" t="s">
        <v>344</v>
      </c>
      <c r="F160" s="538"/>
      <c r="G160" s="151">
        <f t="shared" ref="G160:K160" si="64">SUM(G158:G159)</f>
        <v>45075</v>
      </c>
      <c r="H160" s="151">
        <f t="shared" si="64"/>
        <v>45075</v>
      </c>
      <c r="I160" s="151">
        <f>SUM(I158:I159)</f>
        <v>41222.406999999999</v>
      </c>
      <c r="J160" s="151">
        <f t="shared" si="64"/>
        <v>0</v>
      </c>
      <c r="K160" s="151">
        <f t="shared" si="64"/>
        <v>45075</v>
      </c>
      <c r="L160" s="362">
        <f t="shared" si="52"/>
        <v>1</v>
      </c>
      <c r="M160" s="184"/>
      <c r="N160" s="188"/>
      <c r="O160" s="187"/>
      <c r="P160" s="151">
        <f>SUM(P158:P159)</f>
        <v>75</v>
      </c>
    </row>
    <row r="161" spans="2:16" s="25" customFormat="1" x14ac:dyDescent="0.2">
      <c r="B161" s="558"/>
      <c r="C161" s="559"/>
      <c r="D161" s="559"/>
      <c r="E161" s="17">
        <v>25201004</v>
      </c>
      <c r="F161" s="7" t="s">
        <v>96</v>
      </c>
      <c r="G161" s="355">
        <v>5000</v>
      </c>
      <c r="H161" s="355">
        <v>0</v>
      </c>
      <c r="I161" s="355">
        <v>0</v>
      </c>
      <c r="J161" s="355">
        <v>0</v>
      </c>
      <c r="K161" s="137">
        <v>5000</v>
      </c>
      <c r="L161" s="362">
        <f t="shared" si="52"/>
        <v>1</v>
      </c>
      <c r="M161" s="161"/>
      <c r="N161" s="188"/>
      <c r="O161" s="187"/>
      <c r="P161" s="305">
        <v>5000</v>
      </c>
    </row>
    <row r="162" spans="2:16" s="25" customFormat="1" x14ac:dyDescent="0.2">
      <c r="B162" s="558"/>
      <c r="C162" s="559"/>
      <c r="D162" s="559"/>
      <c r="E162" s="29">
        <v>25201005</v>
      </c>
      <c r="F162" s="12" t="s">
        <v>92</v>
      </c>
      <c r="G162" s="355">
        <v>1000</v>
      </c>
      <c r="H162" s="355">
        <v>10500</v>
      </c>
      <c r="I162" s="355">
        <v>2897.44</v>
      </c>
      <c r="J162" s="355">
        <v>6152.56</v>
      </c>
      <c r="K162" s="137">
        <v>10000</v>
      </c>
      <c r="L162" s="362">
        <f t="shared" si="52"/>
        <v>10</v>
      </c>
      <c r="M162" s="161"/>
      <c r="N162" s="188"/>
      <c r="O162" s="187"/>
      <c r="P162" s="305">
        <v>10000</v>
      </c>
    </row>
    <row r="163" spans="2:16" s="25" customFormat="1" x14ac:dyDescent="0.2">
      <c r="B163" s="558"/>
      <c r="C163" s="559"/>
      <c r="D163" s="559"/>
      <c r="E163" s="439" t="s">
        <v>346</v>
      </c>
      <c r="F163" s="439"/>
      <c r="G163" s="144">
        <f t="shared" ref="G163:J163" si="65">SUM(G161:G162)</f>
        <v>6000</v>
      </c>
      <c r="H163" s="144">
        <f t="shared" si="65"/>
        <v>10500</v>
      </c>
      <c r="I163" s="144">
        <f t="shared" si="65"/>
        <v>2897.44</v>
      </c>
      <c r="J163" s="144">
        <f t="shared" si="65"/>
        <v>6152.56</v>
      </c>
      <c r="K163" s="144">
        <f>SUM(K161:K162)</f>
        <v>15000</v>
      </c>
      <c r="L163" s="362">
        <f t="shared" si="52"/>
        <v>2.5</v>
      </c>
      <c r="M163" s="184"/>
      <c r="N163" s="188"/>
      <c r="O163" s="187"/>
      <c r="P163" s="144">
        <f>SUM(P161:P162)</f>
        <v>15000</v>
      </c>
    </row>
    <row r="164" spans="2:16" s="25" customFormat="1" x14ac:dyDescent="0.2">
      <c r="B164" s="539" t="s">
        <v>345</v>
      </c>
      <c r="C164" s="539"/>
      <c r="D164" s="539"/>
      <c r="E164" s="539"/>
      <c r="F164" s="539"/>
      <c r="G164" s="134">
        <f t="shared" ref="G164:K164" si="66">G160+G163</f>
        <v>51075</v>
      </c>
      <c r="H164" s="134">
        <f t="shared" si="66"/>
        <v>55575</v>
      </c>
      <c r="I164" s="134">
        <f t="shared" si="66"/>
        <v>44119.847000000002</v>
      </c>
      <c r="J164" s="134">
        <f t="shared" si="66"/>
        <v>6152.56</v>
      </c>
      <c r="K164" s="134">
        <f t="shared" si="66"/>
        <v>60075</v>
      </c>
      <c r="L164" s="362">
        <f t="shared" si="52"/>
        <v>1.1762114537444934</v>
      </c>
      <c r="M164" s="184"/>
      <c r="N164" s="188"/>
      <c r="O164" s="187"/>
      <c r="P164" s="134">
        <f>P160+P163</f>
        <v>15075</v>
      </c>
    </row>
    <row r="165" spans="2:16" s="25" customFormat="1" x14ac:dyDescent="0.2">
      <c r="B165" s="558" t="s">
        <v>363</v>
      </c>
      <c r="C165" s="559">
        <v>21</v>
      </c>
      <c r="D165" s="559">
        <v>0</v>
      </c>
      <c r="E165" s="17">
        <v>20103001</v>
      </c>
      <c r="F165" s="7" t="s">
        <v>342</v>
      </c>
      <c r="G165" s="355">
        <v>67000</v>
      </c>
      <c r="H165" s="355">
        <v>67000</v>
      </c>
      <c r="I165" s="355">
        <v>64951.544999999998</v>
      </c>
      <c r="J165" s="355">
        <v>0</v>
      </c>
      <c r="K165" s="137">
        <v>70000</v>
      </c>
      <c r="L165" s="362">
        <f t="shared" si="52"/>
        <v>1.044776119402985</v>
      </c>
      <c r="M165" s="161"/>
      <c r="N165" s="188"/>
      <c r="O165" s="187"/>
      <c r="P165" s="305">
        <v>0</v>
      </c>
    </row>
    <row r="166" spans="2:16" s="25" customFormat="1" x14ac:dyDescent="0.2">
      <c r="B166" s="558"/>
      <c r="C166" s="559"/>
      <c r="D166" s="559"/>
      <c r="E166" s="17">
        <v>23603002</v>
      </c>
      <c r="F166" s="7" t="s">
        <v>68</v>
      </c>
      <c r="G166" s="355">
        <v>75</v>
      </c>
      <c r="H166" s="355">
        <v>75</v>
      </c>
      <c r="I166" s="355">
        <v>75</v>
      </c>
      <c r="J166" s="355">
        <v>0</v>
      </c>
      <c r="K166" s="137">
        <v>75</v>
      </c>
      <c r="L166" s="362">
        <f t="shared" si="52"/>
        <v>1</v>
      </c>
      <c r="M166" s="161"/>
      <c r="N166" s="188"/>
      <c r="O166" s="187"/>
      <c r="P166" s="305">
        <v>100</v>
      </c>
    </row>
    <row r="167" spans="2:16" s="25" customFormat="1" x14ac:dyDescent="0.2">
      <c r="B167" s="558"/>
      <c r="C167" s="559"/>
      <c r="D167" s="559"/>
      <c r="E167" s="538" t="s">
        <v>344</v>
      </c>
      <c r="F167" s="538"/>
      <c r="G167" s="151">
        <f t="shared" ref="G167:K167" si="67">SUM(G165:G166)</f>
        <v>67075</v>
      </c>
      <c r="H167" s="151">
        <f t="shared" si="67"/>
        <v>67075</v>
      </c>
      <c r="I167" s="151">
        <f>SUM(I165:I166)</f>
        <v>65026.544999999998</v>
      </c>
      <c r="J167" s="151">
        <f t="shared" si="67"/>
        <v>0</v>
      </c>
      <c r="K167" s="151">
        <f t="shared" si="67"/>
        <v>70075</v>
      </c>
      <c r="L167" s="362">
        <f t="shared" si="52"/>
        <v>1.0447260529258293</v>
      </c>
      <c r="M167" s="184"/>
      <c r="N167" s="188"/>
      <c r="O167" s="187"/>
      <c r="P167" s="151">
        <f>SUM(P165:P166)</f>
        <v>100</v>
      </c>
    </row>
    <row r="168" spans="2:16" s="25" customFormat="1" x14ac:dyDescent="0.2">
      <c r="B168" s="558"/>
      <c r="C168" s="559"/>
      <c r="D168" s="559"/>
      <c r="E168" s="17">
        <v>25101001</v>
      </c>
      <c r="F168" s="7" t="s">
        <v>90</v>
      </c>
      <c r="G168" s="355">
        <v>40000</v>
      </c>
      <c r="H168" s="355">
        <v>500</v>
      </c>
      <c r="I168" s="355">
        <v>0</v>
      </c>
      <c r="J168" s="355">
        <v>0</v>
      </c>
      <c r="K168" s="137">
        <v>100000</v>
      </c>
      <c r="L168" s="362">
        <f t="shared" si="52"/>
        <v>2.5</v>
      </c>
      <c r="M168" s="161"/>
      <c r="N168" s="188"/>
      <c r="O168" s="187"/>
      <c r="P168" s="305">
        <v>300000</v>
      </c>
    </row>
    <row r="169" spans="2:16" s="25" customFormat="1" x14ac:dyDescent="0.2">
      <c r="B169" s="558"/>
      <c r="C169" s="559"/>
      <c r="D169" s="559"/>
      <c r="E169" s="17">
        <v>25101002</v>
      </c>
      <c r="F169" s="7" t="s">
        <v>91</v>
      </c>
      <c r="G169" s="355">
        <v>20000</v>
      </c>
      <c r="H169" s="355">
        <v>15000</v>
      </c>
      <c r="I169" s="355">
        <v>14887</v>
      </c>
      <c r="J169" s="355">
        <v>0</v>
      </c>
      <c r="K169" s="137">
        <v>60000</v>
      </c>
      <c r="L169" s="362">
        <f t="shared" si="52"/>
        <v>3</v>
      </c>
      <c r="M169" s="161"/>
      <c r="N169" s="188"/>
      <c r="O169" s="187"/>
      <c r="P169" s="305">
        <v>60000</v>
      </c>
    </row>
    <row r="170" spans="2:16" s="25" customFormat="1" x14ac:dyDescent="0.2">
      <c r="B170" s="558"/>
      <c r="C170" s="559"/>
      <c r="D170" s="559"/>
      <c r="E170" s="123"/>
      <c r="F170" s="60" t="s">
        <v>515</v>
      </c>
      <c r="G170" s="122"/>
      <c r="H170" s="122"/>
      <c r="I170" s="122"/>
      <c r="J170" s="122"/>
      <c r="K170" s="122">
        <v>15000</v>
      </c>
      <c r="L170" s="362" t="str">
        <f t="shared" si="52"/>
        <v/>
      </c>
      <c r="M170" s="161"/>
      <c r="N170" s="188"/>
      <c r="O170" s="187"/>
      <c r="P170" s="132">
        <v>15000</v>
      </c>
    </row>
    <row r="171" spans="2:16" s="25" customFormat="1" x14ac:dyDescent="0.2">
      <c r="B171" s="558"/>
      <c r="C171" s="559"/>
      <c r="D171" s="559"/>
      <c r="E171" s="17">
        <v>25301001</v>
      </c>
      <c r="F171" s="7" t="s">
        <v>97</v>
      </c>
      <c r="G171" s="355">
        <v>29000</v>
      </c>
      <c r="H171" s="355">
        <v>3000</v>
      </c>
      <c r="I171" s="355">
        <v>0</v>
      </c>
      <c r="J171" s="355">
        <v>2508</v>
      </c>
      <c r="K171" s="137">
        <v>100000</v>
      </c>
      <c r="L171" s="362">
        <f t="shared" si="52"/>
        <v>3.4482758620689653</v>
      </c>
      <c r="M171" s="161"/>
      <c r="N171" s="188"/>
      <c r="O171" s="187"/>
      <c r="P171" s="305">
        <v>200000</v>
      </c>
    </row>
    <row r="172" spans="2:16" s="25" customFormat="1" x14ac:dyDescent="0.2">
      <c r="B172" s="558"/>
      <c r="C172" s="559"/>
      <c r="D172" s="559"/>
      <c r="E172" s="17">
        <v>25301002</v>
      </c>
      <c r="F172" s="7" t="s">
        <v>98</v>
      </c>
      <c r="G172" s="355">
        <v>6000</v>
      </c>
      <c r="H172" s="355">
        <v>0</v>
      </c>
      <c r="I172" s="355">
        <v>0</v>
      </c>
      <c r="J172" s="355">
        <v>0</v>
      </c>
      <c r="K172" s="137">
        <v>10000</v>
      </c>
      <c r="L172" s="362">
        <f t="shared" si="52"/>
        <v>1.6666666666666667</v>
      </c>
      <c r="M172" s="161"/>
      <c r="N172" s="188"/>
      <c r="O172" s="187"/>
      <c r="P172" s="305">
        <v>20000</v>
      </c>
    </row>
    <row r="173" spans="2:16" s="25" customFormat="1" x14ac:dyDescent="0.2">
      <c r="B173" s="558"/>
      <c r="C173" s="559"/>
      <c r="D173" s="559"/>
      <c r="E173" s="17">
        <v>25301003</v>
      </c>
      <c r="F173" s="7" t="s">
        <v>99</v>
      </c>
      <c r="G173" s="355">
        <v>6000</v>
      </c>
      <c r="H173" s="355">
        <v>0</v>
      </c>
      <c r="I173" s="355">
        <v>0</v>
      </c>
      <c r="J173" s="355">
        <v>0</v>
      </c>
      <c r="K173" s="137">
        <v>10000</v>
      </c>
      <c r="L173" s="362">
        <f t="shared" si="52"/>
        <v>1.6666666666666667</v>
      </c>
      <c r="M173" s="161"/>
      <c r="N173" s="188"/>
      <c r="O173" s="187"/>
      <c r="P173" s="305">
        <v>10000</v>
      </c>
    </row>
    <row r="174" spans="2:16" s="25" customFormat="1" x14ac:dyDescent="0.2">
      <c r="B174" s="558"/>
      <c r="C174" s="559"/>
      <c r="D174" s="559"/>
      <c r="E174" s="17">
        <v>25401001</v>
      </c>
      <c r="F174" s="7" t="s">
        <v>482</v>
      </c>
      <c r="G174" s="355">
        <v>25000</v>
      </c>
      <c r="H174" s="355">
        <v>20000</v>
      </c>
      <c r="I174" s="355">
        <v>18650</v>
      </c>
      <c r="J174" s="355">
        <v>0</v>
      </c>
      <c r="K174" s="137">
        <v>20000</v>
      </c>
      <c r="L174" s="362">
        <f t="shared" si="52"/>
        <v>0.8</v>
      </c>
      <c r="M174" s="161"/>
      <c r="N174" s="188"/>
      <c r="O174" s="187"/>
      <c r="P174" s="305">
        <v>60000</v>
      </c>
    </row>
    <row r="175" spans="2:16" s="25" customFormat="1" x14ac:dyDescent="0.2">
      <c r="B175" s="558"/>
      <c r="C175" s="559"/>
      <c r="D175" s="559"/>
      <c r="E175" s="17">
        <v>25401002</v>
      </c>
      <c r="F175" s="7" t="s">
        <v>100</v>
      </c>
      <c r="G175" s="355">
        <v>1000</v>
      </c>
      <c r="H175" s="355">
        <v>500</v>
      </c>
      <c r="I175" s="355">
        <v>0</v>
      </c>
      <c r="J175" s="355">
        <v>0</v>
      </c>
      <c r="K175" s="137">
        <v>1000</v>
      </c>
      <c r="L175" s="362">
        <f t="shared" si="52"/>
        <v>1</v>
      </c>
      <c r="M175" s="161"/>
      <c r="N175" s="188"/>
      <c r="O175" s="187"/>
      <c r="P175" s="305">
        <v>1000</v>
      </c>
    </row>
    <row r="176" spans="2:16" s="25" customFormat="1" x14ac:dyDescent="0.2">
      <c r="B176" s="558"/>
      <c r="C176" s="559"/>
      <c r="D176" s="559"/>
      <c r="E176" s="17">
        <v>25401003</v>
      </c>
      <c r="F176" s="7" t="s">
        <v>101</v>
      </c>
      <c r="G176" s="355">
        <v>1000</v>
      </c>
      <c r="H176" s="355">
        <v>1000</v>
      </c>
      <c r="I176" s="355">
        <v>0</v>
      </c>
      <c r="J176" s="355">
        <v>0</v>
      </c>
      <c r="K176" s="137">
        <v>1000</v>
      </c>
      <c r="L176" s="362">
        <f t="shared" si="52"/>
        <v>1</v>
      </c>
      <c r="M176" s="161"/>
      <c r="N176" s="188"/>
      <c r="O176" s="187"/>
      <c r="P176" s="305">
        <v>1000</v>
      </c>
    </row>
    <row r="177" spans="2:16" s="25" customFormat="1" x14ac:dyDescent="0.2">
      <c r="B177" s="558"/>
      <c r="C177" s="559"/>
      <c r="D177" s="559"/>
      <c r="E177" s="17">
        <v>25401005</v>
      </c>
      <c r="F177" s="7" t="s">
        <v>364</v>
      </c>
      <c r="G177" s="355">
        <v>25000</v>
      </c>
      <c r="H177" s="355">
        <v>35500</v>
      </c>
      <c r="I177" s="355">
        <v>29277.5</v>
      </c>
      <c r="J177" s="355">
        <v>6000</v>
      </c>
      <c r="K177" s="137">
        <v>25000</v>
      </c>
      <c r="L177" s="362">
        <f t="shared" si="52"/>
        <v>1</v>
      </c>
      <c r="M177" s="161"/>
      <c r="N177" s="188"/>
      <c r="O177" s="187"/>
      <c r="P177" s="305">
        <v>25000</v>
      </c>
    </row>
    <row r="178" spans="2:16" s="25" customFormat="1" x14ac:dyDescent="0.2">
      <c r="B178" s="558"/>
      <c r="C178" s="559"/>
      <c r="D178" s="559"/>
      <c r="E178" s="439" t="s">
        <v>346</v>
      </c>
      <c r="F178" s="439"/>
      <c r="G178" s="144">
        <f t="shared" ref="G178:J178" si="68">SUM(G168:G177)</f>
        <v>153000</v>
      </c>
      <c r="H178" s="144">
        <f t="shared" si="68"/>
        <v>75500</v>
      </c>
      <c r="I178" s="144">
        <f>SUM(I168:I177)</f>
        <v>62814.5</v>
      </c>
      <c r="J178" s="144">
        <f t="shared" si="68"/>
        <v>8508</v>
      </c>
      <c r="K178" s="144">
        <f>SUM(K168:K177)</f>
        <v>342000</v>
      </c>
      <c r="L178" s="362">
        <f t="shared" si="52"/>
        <v>2.2352941176470589</v>
      </c>
      <c r="M178" s="184"/>
      <c r="N178" s="188"/>
      <c r="O178" s="187"/>
      <c r="P178" s="144">
        <f>SUM(P168:P177)</f>
        <v>692000</v>
      </c>
    </row>
    <row r="179" spans="2:16" s="25" customFormat="1" x14ac:dyDescent="0.2">
      <c r="B179" s="539" t="s">
        <v>345</v>
      </c>
      <c r="C179" s="539"/>
      <c r="D179" s="539"/>
      <c r="E179" s="539"/>
      <c r="F179" s="539"/>
      <c r="G179" s="134">
        <f t="shared" ref="G179:J179" si="69">G167+G178</f>
        <v>220075</v>
      </c>
      <c r="H179" s="134">
        <f t="shared" si="69"/>
        <v>142575</v>
      </c>
      <c r="I179" s="134">
        <f t="shared" si="69"/>
        <v>127841.045</v>
      </c>
      <c r="J179" s="134">
        <f t="shared" si="69"/>
        <v>8508</v>
      </c>
      <c r="K179" s="134">
        <f>K167+K178</f>
        <v>412075</v>
      </c>
      <c r="L179" s="362">
        <f t="shared" si="52"/>
        <v>1.872429853459048</v>
      </c>
      <c r="M179" s="184"/>
      <c r="N179" s="188"/>
      <c r="O179" s="187"/>
      <c r="P179" s="134">
        <f>P167+P178</f>
        <v>692100</v>
      </c>
    </row>
    <row r="180" spans="2:16" s="25" customFormat="1" x14ac:dyDescent="0.2">
      <c r="B180" s="558" t="s">
        <v>365</v>
      </c>
      <c r="C180" s="559">
        <v>31</v>
      </c>
      <c r="D180" s="559">
        <v>0</v>
      </c>
      <c r="E180" s="17">
        <v>20103001</v>
      </c>
      <c r="F180" s="7" t="s">
        <v>342</v>
      </c>
      <c r="G180" s="355">
        <v>583000</v>
      </c>
      <c r="H180" s="355">
        <v>547000</v>
      </c>
      <c r="I180" s="355">
        <v>546962.85699999996</v>
      </c>
      <c r="J180" s="355">
        <v>0</v>
      </c>
      <c r="K180" s="137">
        <v>600000</v>
      </c>
      <c r="L180" s="362">
        <f t="shared" si="52"/>
        <v>1.0291595197255574</v>
      </c>
      <c r="M180" s="161"/>
      <c r="N180" s="188"/>
      <c r="O180" s="187"/>
      <c r="P180" s="305">
        <v>0</v>
      </c>
    </row>
    <row r="181" spans="2:16" s="25" customFormat="1" x14ac:dyDescent="0.2">
      <c r="B181" s="558"/>
      <c r="C181" s="559"/>
      <c r="D181" s="559"/>
      <c r="E181" s="17">
        <v>21606002</v>
      </c>
      <c r="F181" s="7" t="s">
        <v>42</v>
      </c>
      <c r="G181" s="355">
        <v>7000</v>
      </c>
      <c r="H181" s="355">
        <v>7000</v>
      </c>
      <c r="I181" s="355">
        <v>0</v>
      </c>
      <c r="J181" s="355">
        <v>0</v>
      </c>
      <c r="K181" s="137">
        <v>7000</v>
      </c>
      <c r="L181" s="362">
        <f t="shared" si="52"/>
        <v>1</v>
      </c>
      <c r="M181" s="161"/>
      <c r="N181" s="188"/>
      <c r="O181" s="187"/>
      <c r="P181" s="305">
        <v>8000</v>
      </c>
    </row>
    <row r="182" spans="2:16" s="25" customFormat="1" x14ac:dyDescent="0.2">
      <c r="B182" s="558"/>
      <c r="C182" s="559"/>
      <c r="D182" s="559"/>
      <c r="E182" s="17">
        <v>22601001</v>
      </c>
      <c r="F182" s="7" t="s">
        <v>252</v>
      </c>
      <c r="G182" s="355">
        <v>15000</v>
      </c>
      <c r="H182" s="355">
        <v>15000</v>
      </c>
      <c r="I182" s="355">
        <v>4708.7</v>
      </c>
      <c r="J182" s="355">
        <v>1864</v>
      </c>
      <c r="K182" s="137">
        <v>15000</v>
      </c>
      <c r="L182" s="362">
        <f t="shared" si="52"/>
        <v>1</v>
      </c>
      <c r="M182" s="161"/>
      <c r="N182" s="188"/>
      <c r="O182" s="187"/>
      <c r="P182" s="305">
        <v>15000</v>
      </c>
    </row>
    <row r="183" spans="2:16" s="25" customFormat="1" x14ac:dyDescent="0.2">
      <c r="B183" s="558"/>
      <c r="C183" s="559"/>
      <c r="D183" s="559"/>
      <c r="E183" s="17">
        <v>22601003</v>
      </c>
      <c r="F183" s="7" t="s">
        <v>366</v>
      </c>
      <c r="G183" s="355">
        <v>5000</v>
      </c>
      <c r="H183" s="355">
        <v>5000</v>
      </c>
      <c r="I183" s="355">
        <v>800</v>
      </c>
      <c r="J183" s="355">
        <v>0</v>
      </c>
      <c r="K183" s="137">
        <v>7000</v>
      </c>
      <c r="L183" s="362">
        <f t="shared" si="52"/>
        <v>1.4</v>
      </c>
      <c r="M183" s="161"/>
      <c r="N183" s="188"/>
      <c r="O183" s="187"/>
      <c r="P183" s="305">
        <v>7000</v>
      </c>
    </row>
    <row r="184" spans="2:16" s="25" customFormat="1" x14ac:dyDescent="0.2">
      <c r="B184" s="558"/>
      <c r="C184" s="559"/>
      <c r="D184" s="559"/>
      <c r="E184" s="17">
        <v>22601006</v>
      </c>
      <c r="F184" s="7" t="s">
        <v>251</v>
      </c>
      <c r="G184" s="355">
        <v>15000</v>
      </c>
      <c r="H184" s="355">
        <v>15000</v>
      </c>
      <c r="I184" s="355">
        <v>0</v>
      </c>
      <c r="J184" s="355">
        <v>0</v>
      </c>
      <c r="K184" s="137">
        <v>15000</v>
      </c>
      <c r="L184" s="362">
        <f t="shared" si="52"/>
        <v>1</v>
      </c>
      <c r="M184" s="161"/>
      <c r="N184" s="188"/>
      <c r="O184" s="187"/>
      <c r="P184" s="305">
        <v>15000</v>
      </c>
    </row>
    <row r="185" spans="2:16" s="25" customFormat="1" x14ac:dyDescent="0.2">
      <c r="B185" s="558"/>
      <c r="C185" s="559"/>
      <c r="D185" s="559"/>
      <c r="E185" s="17">
        <v>22601009</v>
      </c>
      <c r="F185" s="7" t="s">
        <v>47</v>
      </c>
      <c r="G185" s="355">
        <v>5000</v>
      </c>
      <c r="H185" s="355">
        <v>5000</v>
      </c>
      <c r="I185" s="355">
        <v>1024.1669999999999</v>
      </c>
      <c r="J185" s="355">
        <v>105.789</v>
      </c>
      <c r="K185" s="137">
        <v>5000</v>
      </c>
      <c r="L185" s="362">
        <f t="shared" si="52"/>
        <v>1</v>
      </c>
      <c r="M185" s="161"/>
      <c r="N185" s="188"/>
      <c r="O185" s="187"/>
      <c r="P185" s="305">
        <v>5000</v>
      </c>
    </row>
    <row r="186" spans="2:16" s="25" customFormat="1" x14ac:dyDescent="0.2">
      <c r="B186" s="558"/>
      <c r="C186" s="559"/>
      <c r="D186" s="559"/>
      <c r="E186" s="17">
        <v>22602001</v>
      </c>
      <c r="F186" s="7" t="s">
        <v>48</v>
      </c>
      <c r="G186" s="355">
        <v>30000</v>
      </c>
      <c r="H186" s="355">
        <v>30000</v>
      </c>
      <c r="I186" s="355">
        <v>30000</v>
      </c>
      <c r="J186" s="355">
        <v>0</v>
      </c>
      <c r="K186" s="137">
        <v>100000</v>
      </c>
      <c r="L186" s="362">
        <f t="shared" si="52"/>
        <v>3.3333333333333335</v>
      </c>
      <c r="M186" s="161"/>
      <c r="N186" s="188"/>
      <c r="O186" s="187"/>
      <c r="P186" s="305">
        <v>300000</v>
      </c>
    </row>
    <row r="187" spans="2:16" s="25" customFormat="1" x14ac:dyDescent="0.2">
      <c r="B187" s="558"/>
      <c r="C187" s="559"/>
      <c r="D187" s="559"/>
      <c r="E187" s="17">
        <v>22603001</v>
      </c>
      <c r="F187" s="7" t="s">
        <v>49</v>
      </c>
      <c r="G187" s="355">
        <v>70000</v>
      </c>
      <c r="H187" s="355">
        <v>115000</v>
      </c>
      <c r="I187" s="355">
        <v>111649.55</v>
      </c>
      <c r="J187" s="355">
        <v>0</v>
      </c>
      <c r="K187" s="137">
        <v>120000</v>
      </c>
      <c r="L187" s="362">
        <f t="shared" si="52"/>
        <v>1.7142857142857142</v>
      </c>
      <c r="M187" s="161"/>
      <c r="N187" s="188"/>
      <c r="O187" s="187"/>
      <c r="P187" s="305">
        <v>70000</v>
      </c>
    </row>
    <row r="188" spans="2:16" s="25" customFormat="1" x14ac:dyDescent="0.2">
      <c r="B188" s="558"/>
      <c r="C188" s="559"/>
      <c r="D188" s="559"/>
      <c r="E188" s="17">
        <v>22604001</v>
      </c>
      <c r="F188" s="7" t="s">
        <v>50</v>
      </c>
      <c r="G188" s="355">
        <v>25000</v>
      </c>
      <c r="H188" s="355">
        <v>25000</v>
      </c>
      <c r="I188" s="355">
        <v>0</v>
      </c>
      <c r="J188" s="355">
        <v>0</v>
      </c>
      <c r="K188" s="137">
        <v>25000</v>
      </c>
      <c r="L188" s="362">
        <f t="shared" si="52"/>
        <v>1</v>
      </c>
      <c r="M188" s="161"/>
      <c r="N188" s="188"/>
      <c r="O188" s="187"/>
      <c r="P188" s="305">
        <v>25000</v>
      </c>
    </row>
    <row r="189" spans="2:16" s="25" customFormat="1" x14ac:dyDescent="0.2">
      <c r="B189" s="558"/>
      <c r="C189" s="559"/>
      <c r="D189" s="559"/>
      <c r="E189" s="17">
        <v>22605002</v>
      </c>
      <c r="F189" s="7" t="s">
        <v>51</v>
      </c>
      <c r="G189" s="355">
        <v>15000</v>
      </c>
      <c r="H189" s="355">
        <v>15000</v>
      </c>
      <c r="I189" s="355">
        <v>0</v>
      </c>
      <c r="J189" s="355">
        <v>10500</v>
      </c>
      <c r="K189" s="137">
        <v>15000</v>
      </c>
      <c r="L189" s="362">
        <f t="shared" si="52"/>
        <v>1</v>
      </c>
      <c r="M189" s="161"/>
      <c r="N189" s="188"/>
      <c r="O189" s="187"/>
      <c r="P189" s="305">
        <v>15000</v>
      </c>
    </row>
    <row r="190" spans="2:16" s="25" customFormat="1" x14ac:dyDescent="0.2">
      <c r="B190" s="558"/>
      <c r="C190" s="559"/>
      <c r="D190" s="559"/>
      <c r="E190" s="17">
        <v>22605003</v>
      </c>
      <c r="F190" s="7" t="s">
        <v>52</v>
      </c>
      <c r="G190" s="355">
        <v>5000</v>
      </c>
      <c r="H190" s="355">
        <v>5000</v>
      </c>
      <c r="I190" s="355">
        <v>0</v>
      </c>
      <c r="J190" s="355">
        <v>0</v>
      </c>
      <c r="K190" s="137">
        <v>5000</v>
      </c>
      <c r="L190" s="362">
        <f t="shared" si="52"/>
        <v>1</v>
      </c>
      <c r="M190" s="161"/>
      <c r="N190" s="188"/>
      <c r="O190" s="187"/>
      <c r="P190" s="305">
        <v>5000</v>
      </c>
    </row>
    <row r="191" spans="2:16" s="25" customFormat="1" x14ac:dyDescent="0.2">
      <c r="B191" s="558"/>
      <c r="C191" s="559"/>
      <c r="D191" s="559"/>
      <c r="E191" s="17">
        <v>22607001</v>
      </c>
      <c r="F191" s="7" t="s">
        <v>55</v>
      </c>
      <c r="G191" s="355">
        <v>2000</v>
      </c>
      <c r="H191" s="355">
        <v>2000</v>
      </c>
      <c r="I191" s="355">
        <v>0</v>
      </c>
      <c r="J191" s="355">
        <v>0</v>
      </c>
      <c r="K191" s="137">
        <v>2000</v>
      </c>
      <c r="L191" s="362">
        <f t="shared" si="52"/>
        <v>1</v>
      </c>
      <c r="M191" s="161"/>
      <c r="N191" s="188"/>
      <c r="O191" s="187"/>
      <c r="P191" s="305">
        <v>3000</v>
      </c>
    </row>
    <row r="192" spans="2:16" s="25" customFormat="1" x14ac:dyDescent="0.2">
      <c r="B192" s="558"/>
      <c r="C192" s="559"/>
      <c r="D192" s="559"/>
      <c r="E192" s="29">
        <v>22609001</v>
      </c>
      <c r="F192" s="12" t="s">
        <v>282</v>
      </c>
      <c r="G192" s="355">
        <v>5000</v>
      </c>
      <c r="H192" s="355">
        <v>5000</v>
      </c>
      <c r="I192" s="355">
        <v>0</v>
      </c>
      <c r="J192" s="355">
        <v>0</v>
      </c>
      <c r="K192" s="137">
        <v>5000</v>
      </c>
      <c r="L192" s="362">
        <f t="shared" si="52"/>
        <v>1</v>
      </c>
      <c r="M192" s="161"/>
      <c r="N192" s="188"/>
      <c r="O192" s="187"/>
      <c r="P192" s="305">
        <v>5000</v>
      </c>
    </row>
    <row r="193" spans="2:16" s="25" customFormat="1" x14ac:dyDescent="0.2">
      <c r="B193" s="558"/>
      <c r="C193" s="559"/>
      <c r="D193" s="559"/>
      <c r="E193" s="17">
        <v>23603002</v>
      </c>
      <c r="F193" s="7" t="s">
        <v>68</v>
      </c>
      <c r="G193" s="355">
        <v>600</v>
      </c>
      <c r="H193" s="355">
        <v>600</v>
      </c>
      <c r="I193" s="355">
        <v>369.75</v>
      </c>
      <c r="J193" s="355">
        <v>0</v>
      </c>
      <c r="K193" s="137">
        <v>600</v>
      </c>
      <c r="L193" s="362">
        <f t="shared" si="52"/>
        <v>1</v>
      </c>
      <c r="M193" s="161"/>
      <c r="N193" s="188"/>
      <c r="O193" s="187"/>
      <c r="P193" s="305">
        <v>600</v>
      </c>
    </row>
    <row r="194" spans="2:16" s="25" customFormat="1" x14ac:dyDescent="0.2">
      <c r="B194" s="558"/>
      <c r="C194" s="559"/>
      <c r="D194" s="559"/>
      <c r="E194" s="538" t="s">
        <v>344</v>
      </c>
      <c r="F194" s="538"/>
      <c r="G194" s="151">
        <f>SUM(G180:G193)</f>
        <v>782600</v>
      </c>
      <c r="H194" s="151">
        <f>SUM(H180:H193)</f>
        <v>791600</v>
      </c>
      <c r="I194" s="151">
        <f>SUM(I180:I193)</f>
        <v>695515.02399999998</v>
      </c>
      <c r="J194" s="151">
        <f t="shared" ref="J194:K194" si="70">SUM(J180:J193)</f>
        <v>12469.789000000001</v>
      </c>
      <c r="K194" s="151">
        <f t="shared" si="70"/>
        <v>921600</v>
      </c>
      <c r="L194" s="362">
        <f t="shared" si="52"/>
        <v>1.1776130845898287</v>
      </c>
      <c r="M194" s="184"/>
      <c r="N194" s="188"/>
      <c r="O194" s="187"/>
      <c r="P194" s="151">
        <f>SUM(P180:P193)</f>
        <v>473600</v>
      </c>
    </row>
    <row r="195" spans="2:16" s="25" customFormat="1" x14ac:dyDescent="0.2">
      <c r="B195" s="558"/>
      <c r="C195" s="559"/>
      <c r="D195" s="559"/>
      <c r="E195" s="29">
        <v>26302005</v>
      </c>
      <c r="F195" s="6" t="s">
        <v>490</v>
      </c>
      <c r="G195" s="355">
        <v>20000</v>
      </c>
      <c r="H195" s="355">
        <v>20000</v>
      </c>
      <c r="I195" s="355">
        <v>515</v>
      </c>
      <c r="J195" s="355">
        <v>285</v>
      </c>
      <c r="K195" s="137">
        <v>20000</v>
      </c>
      <c r="L195" s="362">
        <f t="shared" si="52"/>
        <v>1</v>
      </c>
      <c r="M195" s="161"/>
      <c r="N195" s="188"/>
      <c r="O195" s="187"/>
      <c r="P195" s="305">
        <v>20000</v>
      </c>
    </row>
    <row r="196" spans="2:16" s="25" customFormat="1" x14ac:dyDescent="0.2">
      <c r="B196" s="558"/>
      <c r="C196" s="559"/>
      <c r="D196" s="559"/>
      <c r="E196" s="29">
        <v>26303001</v>
      </c>
      <c r="F196" s="6" t="s">
        <v>305</v>
      </c>
      <c r="G196" s="355">
        <v>10000</v>
      </c>
      <c r="H196" s="355">
        <v>10000</v>
      </c>
      <c r="I196" s="355">
        <v>0</v>
      </c>
      <c r="J196" s="355">
        <v>1150</v>
      </c>
      <c r="K196" s="137">
        <v>10000</v>
      </c>
      <c r="L196" s="362">
        <f t="shared" si="52"/>
        <v>1</v>
      </c>
      <c r="M196" s="161"/>
      <c r="N196" s="188"/>
      <c r="O196" s="187"/>
      <c r="P196" s="305">
        <v>10000</v>
      </c>
    </row>
    <row r="197" spans="2:16" s="25" customFormat="1" x14ac:dyDescent="0.2">
      <c r="B197" s="558"/>
      <c r="C197" s="559"/>
      <c r="D197" s="559"/>
      <c r="E197" s="29">
        <v>26303002</v>
      </c>
      <c r="F197" s="6" t="s">
        <v>314</v>
      </c>
      <c r="G197" s="355">
        <v>3000</v>
      </c>
      <c r="H197" s="355">
        <v>3000</v>
      </c>
      <c r="I197" s="355">
        <v>0</v>
      </c>
      <c r="J197" s="355">
        <v>0</v>
      </c>
      <c r="K197" s="137">
        <v>4000</v>
      </c>
      <c r="L197" s="362">
        <f t="shared" ref="L197:L260" si="71">IFERROR(K197/G197,"")</f>
        <v>1.3333333333333333</v>
      </c>
      <c r="M197" s="161"/>
      <c r="N197" s="188"/>
      <c r="O197" s="187"/>
      <c r="P197" s="305">
        <v>4000</v>
      </c>
    </row>
    <row r="198" spans="2:16" s="25" customFormat="1" x14ac:dyDescent="0.2">
      <c r="B198" s="558"/>
      <c r="C198" s="559"/>
      <c r="D198" s="559"/>
      <c r="E198" s="459" t="s">
        <v>347</v>
      </c>
      <c r="F198" s="459"/>
      <c r="G198" s="138">
        <f t="shared" ref="G198:K198" si="72">SUM(G195:G197)</f>
        <v>33000</v>
      </c>
      <c r="H198" s="138">
        <f t="shared" si="72"/>
        <v>33000</v>
      </c>
      <c r="I198" s="138">
        <f t="shared" si="72"/>
        <v>515</v>
      </c>
      <c r="J198" s="138">
        <f t="shared" si="72"/>
        <v>1435</v>
      </c>
      <c r="K198" s="138">
        <f t="shared" si="72"/>
        <v>34000</v>
      </c>
      <c r="L198" s="362">
        <f t="shared" si="71"/>
        <v>1.0303030303030303</v>
      </c>
      <c r="M198" s="184"/>
      <c r="N198" s="188"/>
      <c r="O198" s="187"/>
      <c r="P198" s="138">
        <f>SUM(P195:P197)</f>
        <v>34000</v>
      </c>
    </row>
    <row r="199" spans="2:16" s="25" customFormat="1" x14ac:dyDescent="0.2">
      <c r="B199" s="539" t="s">
        <v>345</v>
      </c>
      <c r="C199" s="539"/>
      <c r="D199" s="539"/>
      <c r="E199" s="539"/>
      <c r="F199" s="539"/>
      <c r="G199" s="134">
        <f t="shared" ref="G199:K199" si="73">G194+G198</f>
        <v>815600</v>
      </c>
      <c r="H199" s="134">
        <f t="shared" si="73"/>
        <v>824600</v>
      </c>
      <c r="I199" s="134">
        <f t="shared" si="73"/>
        <v>696030.02399999998</v>
      </c>
      <c r="J199" s="134">
        <f t="shared" si="73"/>
        <v>13904.789000000001</v>
      </c>
      <c r="K199" s="134">
        <f t="shared" si="73"/>
        <v>955600</v>
      </c>
      <c r="L199" s="362">
        <f t="shared" si="71"/>
        <v>1.1716527709661599</v>
      </c>
      <c r="M199" s="184"/>
      <c r="N199" s="188"/>
      <c r="O199" s="187"/>
      <c r="P199" s="134">
        <f>P194+P198</f>
        <v>507600</v>
      </c>
    </row>
    <row r="200" spans="2:16" s="25" customFormat="1" x14ac:dyDescent="0.2">
      <c r="B200" s="557" t="s">
        <v>367</v>
      </c>
      <c r="C200" s="556">
        <v>41</v>
      </c>
      <c r="D200" s="556">
        <v>0</v>
      </c>
      <c r="E200" s="17">
        <v>20103001</v>
      </c>
      <c r="F200" s="7" t="s">
        <v>342</v>
      </c>
      <c r="G200" s="355">
        <v>507000</v>
      </c>
      <c r="H200" s="355">
        <v>507000</v>
      </c>
      <c r="I200" s="355">
        <v>504174.462</v>
      </c>
      <c r="J200" s="355">
        <v>0</v>
      </c>
      <c r="K200" s="137">
        <v>510000</v>
      </c>
      <c r="L200" s="362">
        <f t="shared" si="71"/>
        <v>1.0059171597633136</v>
      </c>
      <c r="M200" s="161"/>
      <c r="N200" s="188"/>
      <c r="O200" s="187"/>
      <c r="P200" s="305">
        <v>0</v>
      </c>
    </row>
    <row r="201" spans="2:16" s="25" customFormat="1" x14ac:dyDescent="0.2">
      <c r="B201" s="557"/>
      <c r="C201" s="556"/>
      <c r="D201" s="556"/>
      <c r="E201" s="29">
        <v>21603003</v>
      </c>
      <c r="F201" s="12" t="s">
        <v>242</v>
      </c>
      <c r="G201" s="355">
        <v>35000</v>
      </c>
      <c r="H201" s="355">
        <v>35000</v>
      </c>
      <c r="I201" s="355">
        <v>3138</v>
      </c>
      <c r="J201" s="355">
        <v>18556</v>
      </c>
      <c r="K201" s="137">
        <v>40000</v>
      </c>
      <c r="L201" s="362">
        <f t="shared" si="71"/>
        <v>1.1428571428571428</v>
      </c>
      <c r="M201" s="161"/>
      <c r="N201" s="188"/>
      <c r="O201" s="187"/>
      <c r="P201" s="305">
        <v>40000</v>
      </c>
    </row>
    <row r="202" spans="2:16" s="25" customFormat="1" x14ac:dyDescent="0.2">
      <c r="B202" s="557"/>
      <c r="C202" s="556"/>
      <c r="D202" s="556"/>
      <c r="E202" s="29">
        <v>21603004</v>
      </c>
      <c r="F202" s="12" t="s">
        <v>241</v>
      </c>
      <c r="G202" s="355">
        <v>80000</v>
      </c>
      <c r="H202" s="355">
        <v>80000</v>
      </c>
      <c r="I202" s="355">
        <v>3402.5</v>
      </c>
      <c r="J202" s="355">
        <v>67897.5</v>
      </c>
      <c r="K202" s="137">
        <v>95000</v>
      </c>
      <c r="L202" s="362">
        <f t="shared" si="71"/>
        <v>1.1875</v>
      </c>
      <c r="M202" s="161"/>
      <c r="N202" s="188"/>
      <c r="O202" s="187"/>
      <c r="P202" s="305">
        <v>95000</v>
      </c>
    </row>
    <row r="203" spans="2:16" s="25" customFormat="1" x14ac:dyDescent="0.2">
      <c r="B203" s="557"/>
      <c r="C203" s="556"/>
      <c r="D203" s="556"/>
      <c r="E203" s="29">
        <v>21603006</v>
      </c>
      <c r="F203" s="12" t="s">
        <v>240</v>
      </c>
      <c r="G203" s="355">
        <v>50000</v>
      </c>
      <c r="H203" s="355">
        <v>50000</v>
      </c>
      <c r="I203" s="355">
        <v>0</v>
      </c>
      <c r="J203" s="355">
        <v>37200</v>
      </c>
      <c r="K203" s="137">
        <v>60000</v>
      </c>
      <c r="L203" s="362">
        <f t="shared" si="71"/>
        <v>1.2</v>
      </c>
      <c r="M203" s="161"/>
      <c r="N203" s="188"/>
      <c r="O203" s="187"/>
      <c r="P203" s="305">
        <v>60000</v>
      </c>
    </row>
    <row r="204" spans="2:16" s="25" customFormat="1" x14ac:dyDescent="0.2">
      <c r="B204" s="557"/>
      <c r="C204" s="556"/>
      <c r="D204" s="556"/>
      <c r="E204" s="17">
        <v>23603002</v>
      </c>
      <c r="F204" s="7" t="s">
        <v>68</v>
      </c>
      <c r="G204" s="355">
        <v>375</v>
      </c>
      <c r="H204" s="355">
        <v>375</v>
      </c>
      <c r="I204" s="355">
        <v>250</v>
      </c>
      <c r="J204" s="355">
        <v>37.5</v>
      </c>
      <c r="K204" s="137">
        <v>375</v>
      </c>
      <c r="L204" s="362">
        <f t="shared" si="71"/>
        <v>1</v>
      </c>
      <c r="M204" s="161"/>
      <c r="N204" s="188"/>
      <c r="O204" s="187"/>
      <c r="P204" s="305">
        <v>375</v>
      </c>
    </row>
    <row r="205" spans="2:16" s="25" customFormat="1" x14ac:dyDescent="0.2">
      <c r="B205" s="557"/>
      <c r="C205" s="556"/>
      <c r="D205" s="556"/>
      <c r="E205" s="17">
        <v>23606001</v>
      </c>
      <c r="F205" s="7" t="s">
        <v>368</v>
      </c>
      <c r="G205" s="355">
        <v>100000</v>
      </c>
      <c r="H205" s="355">
        <v>100000</v>
      </c>
      <c r="I205" s="355">
        <v>24360</v>
      </c>
      <c r="J205" s="355">
        <v>0</v>
      </c>
      <c r="K205" s="137">
        <v>60000</v>
      </c>
      <c r="L205" s="362">
        <f t="shared" si="71"/>
        <v>0.6</v>
      </c>
      <c r="M205" s="161"/>
      <c r="N205" s="188"/>
      <c r="O205" s="187"/>
      <c r="P205" s="305">
        <v>60000</v>
      </c>
    </row>
    <row r="206" spans="2:16" s="25" customFormat="1" x14ac:dyDescent="0.2">
      <c r="B206" s="557"/>
      <c r="C206" s="556"/>
      <c r="D206" s="556"/>
      <c r="E206" s="17">
        <v>23606008</v>
      </c>
      <c r="F206" s="7" t="s">
        <v>73</v>
      </c>
      <c r="G206" s="355">
        <v>20000</v>
      </c>
      <c r="H206" s="355">
        <v>20000</v>
      </c>
      <c r="I206" s="355">
        <v>15000</v>
      </c>
      <c r="J206" s="355">
        <v>0</v>
      </c>
      <c r="K206" s="137">
        <v>20000</v>
      </c>
      <c r="L206" s="362">
        <f t="shared" si="71"/>
        <v>1</v>
      </c>
      <c r="M206" s="161"/>
      <c r="N206" s="188"/>
      <c r="O206" s="187"/>
      <c r="P206" s="305">
        <v>20000</v>
      </c>
    </row>
    <row r="207" spans="2:16" s="25" customFormat="1" x14ac:dyDescent="0.2">
      <c r="B207" s="557"/>
      <c r="C207" s="556"/>
      <c r="D207" s="556"/>
      <c r="E207" s="538" t="s">
        <v>344</v>
      </c>
      <c r="F207" s="538"/>
      <c r="G207" s="151">
        <f t="shared" ref="G207:K207" si="74">SUM(G200:G206)</f>
        <v>792375</v>
      </c>
      <c r="H207" s="151">
        <f t="shared" si="74"/>
        <v>792375</v>
      </c>
      <c r="I207" s="151">
        <f>SUM(I200:I206)</f>
        <v>550324.96200000006</v>
      </c>
      <c r="J207" s="151">
        <f t="shared" si="74"/>
        <v>123691</v>
      </c>
      <c r="K207" s="151">
        <f t="shared" si="74"/>
        <v>785375</v>
      </c>
      <c r="L207" s="362">
        <f t="shared" si="71"/>
        <v>0.9911657990219277</v>
      </c>
      <c r="M207" s="184"/>
      <c r="N207" s="188"/>
      <c r="O207" s="187"/>
      <c r="P207" s="151">
        <f>SUM(P200:P206)</f>
        <v>275375</v>
      </c>
    </row>
    <row r="208" spans="2:16" s="25" customFormat="1" x14ac:dyDescent="0.2">
      <c r="B208" s="557"/>
      <c r="C208" s="556"/>
      <c r="D208" s="556"/>
      <c r="E208" s="17">
        <v>26201041</v>
      </c>
      <c r="F208" s="7" t="s">
        <v>412</v>
      </c>
      <c r="G208" s="355">
        <v>65000</v>
      </c>
      <c r="H208" s="355">
        <v>65000</v>
      </c>
      <c r="I208" s="355">
        <v>1799.4380000000001</v>
      </c>
      <c r="J208" s="355">
        <v>18400</v>
      </c>
      <c r="K208" s="137">
        <v>35000</v>
      </c>
      <c r="L208" s="362">
        <f t="shared" si="71"/>
        <v>0.53846153846153844</v>
      </c>
      <c r="M208" s="161"/>
      <c r="N208" s="188"/>
      <c r="O208" s="187"/>
      <c r="P208" s="305">
        <v>35000</v>
      </c>
    </row>
    <row r="209" spans="2:16" s="25" customFormat="1" x14ac:dyDescent="0.2">
      <c r="B209" s="557"/>
      <c r="C209" s="556"/>
      <c r="D209" s="556"/>
      <c r="E209" s="17">
        <v>26201049</v>
      </c>
      <c r="F209" s="7" t="s">
        <v>369</v>
      </c>
      <c r="G209" s="355">
        <v>20000</v>
      </c>
      <c r="H209" s="355">
        <v>20000</v>
      </c>
      <c r="I209" s="355">
        <v>0</v>
      </c>
      <c r="J209" s="355">
        <v>4500</v>
      </c>
      <c r="K209" s="137">
        <v>40000</v>
      </c>
      <c r="L209" s="362">
        <f t="shared" si="71"/>
        <v>2</v>
      </c>
      <c r="M209" s="161"/>
      <c r="N209" s="188"/>
      <c r="O209" s="187"/>
      <c r="P209" s="305">
        <v>40000</v>
      </c>
    </row>
    <row r="210" spans="2:16" s="25" customFormat="1" x14ac:dyDescent="0.2">
      <c r="B210" s="557"/>
      <c r="C210" s="556"/>
      <c r="D210" s="556"/>
      <c r="E210" s="17">
        <v>26201050</v>
      </c>
      <c r="F210" s="7" t="s">
        <v>1</v>
      </c>
      <c r="G210" s="355">
        <v>70000</v>
      </c>
      <c r="H210" s="355">
        <v>70000</v>
      </c>
      <c r="I210" s="355">
        <v>50</v>
      </c>
      <c r="J210" s="355">
        <v>25000</v>
      </c>
      <c r="K210" s="137">
        <v>70000</v>
      </c>
      <c r="L210" s="362">
        <f t="shared" si="71"/>
        <v>1</v>
      </c>
      <c r="M210" s="161"/>
      <c r="N210" s="188"/>
      <c r="O210" s="187"/>
      <c r="P210" s="305">
        <v>70000</v>
      </c>
    </row>
    <row r="211" spans="2:16" s="25" customFormat="1" x14ac:dyDescent="0.2">
      <c r="B211" s="557"/>
      <c r="C211" s="556"/>
      <c r="D211" s="556"/>
      <c r="E211" s="29">
        <v>26201002</v>
      </c>
      <c r="F211" s="6" t="s">
        <v>3</v>
      </c>
      <c r="G211" s="355">
        <v>50000</v>
      </c>
      <c r="H211" s="355">
        <v>50000</v>
      </c>
      <c r="I211" s="355">
        <v>0</v>
      </c>
      <c r="J211" s="355">
        <v>300</v>
      </c>
      <c r="K211" s="137">
        <v>140000</v>
      </c>
      <c r="L211" s="362">
        <f t="shared" si="71"/>
        <v>2.8</v>
      </c>
      <c r="M211" s="161"/>
      <c r="N211" s="188"/>
      <c r="O211" s="187"/>
      <c r="P211" s="305">
        <v>150000</v>
      </c>
    </row>
    <row r="212" spans="2:16" s="25" customFormat="1" x14ac:dyDescent="0.2">
      <c r="B212" s="557"/>
      <c r="C212" s="556"/>
      <c r="D212" s="556"/>
      <c r="E212" s="121"/>
      <c r="F212" s="60" t="s">
        <v>516</v>
      </c>
      <c r="G212" s="355"/>
      <c r="H212" s="355"/>
      <c r="I212" s="355"/>
      <c r="J212" s="355"/>
      <c r="K212" s="137">
        <v>40000</v>
      </c>
      <c r="L212" s="362" t="str">
        <f t="shared" si="71"/>
        <v/>
      </c>
      <c r="M212" s="161"/>
      <c r="N212" s="188"/>
      <c r="O212" s="187"/>
      <c r="P212" s="132">
        <v>50000</v>
      </c>
    </row>
    <row r="213" spans="2:16" s="25" customFormat="1" x14ac:dyDescent="0.2">
      <c r="B213" s="557"/>
      <c r="C213" s="556"/>
      <c r="D213" s="556"/>
      <c r="E213" s="29">
        <v>26301007</v>
      </c>
      <c r="F213" s="6" t="s">
        <v>577</v>
      </c>
      <c r="G213" s="355">
        <v>5000</v>
      </c>
      <c r="H213" s="355">
        <v>5000</v>
      </c>
      <c r="I213" s="355">
        <v>403.99799999999999</v>
      </c>
      <c r="J213" s="355">
        <v>144.00200000000001</v>
      </c>
      <c r="K213" s="137">
        <v>5000</v>
      </c>
      <c r="L213" s="362">
        <f t="shared" si="71"/>
        <v>1</v>
      </c>
      <c r="M213" s="161"/>
      <c r="N213" s="188"/>
      <c r="O213" s="187"/>
      <c r="P213" s="305">
        <v>23000</v>
      </c>
    </row>
    <row r="214" spans="2:16" s="25" customFormat="1" x14ac:dyDescent="0.2">
      <c r="B214" s="557"/>
      <c r="C214" s="556"/>
      <c r="D214" s="556"/>
      <c r="E214" s="459" t="s">
        <v>347</v>
      </c>
      <c r="F214" s="459"/>
      <c r="G214" s="138">
        <f>SUM(G208:G213)</f>
        <v>210000</v>
      </c>
      <c r="H214" s="138">
        <f t="shared" ref="H214:J214" si="75">SUM(H208:H213)</f>
        <v>210000</v>
      </c>
      <c r="I214" s="138">
        <f t="shared" si="75"/>
        <v>2253.4360000000001</v>
      </c>
      <c r="J214" s="138">
        <f t="shared" si="75"/>
        <v>48344.002</v>
      </c>
      <c r="K214" s="138">
        <f>SUM(K208:K213)</f>
        <v>330000</v>
      </c>
      <c r="L214" s="362">
        <f t="shared" si="71"/>
        <v>1.5714285714285714</v>
      </c>
      <c r="M214" s="184"/>
      <c r="N214" s="188"/>
      <c r="O214" s="187"/>
      <c r="P214" s="138">
        <f t="shared" ref="P214" si="76">SUM(P208:P213)</f>
        <v>368000</v>
      </c>
    </row>
    <row r="215" spans="2:16" s="25" customFormat="1" x14ac:dyDescent="0.2">
      <c r="B215" s="539" t="s">
        <v>345</v>
      </c>
      <c r="C215" s="539"/>
      <c r="D215" s="539"/>
      <c r="E215" s="539"/>
      <c r="F215" s="539"/>
      <c r="G215" s="134">
        <f t="shared" ref="G215:K215" si="77">G207+G214</f>
        <v>1002375</v>
      </c>
      <c r="H215" s="134">
        <f t="shared" si="77"/>
        <v>1002375</v>
      </c>
      <c r="I215" s="134">
        <f t="shared" si="77"/>
        <v>552578.39800000004</v>
      </c>
      <c r="J215" s="134">
        <f t="shared" si="77"/>
        <v>172035.00200000001</v>
      </c>
      <c r="K215" s="134">
        <f t="shared" si="77"/>
        <v>1115375</v>
      </c>
      <c r="L215" s="362">
        <f t="shared" si="71"/>
        <v>1.1127322608804091</v>
      </c>
      <c r="M215" s="184"/>
      <c r="N215" s="188"/>
      <c r="O215" s="187"/>
      <c r="P215" s="134">
        <f>P207+P214</f>
        <v>643375</v>
      </c>
    </row>
    <row r="216" spans="2:16" s="25" customFormat="1" x14ac:dyDescent="0.2">
      <c r="B216" s="557" t="s">
        <v>370</v>
      </c>
      <c r="C216" s="556">
        <v>42</v>
      </c>
      <c r="D216" s="556">
        <v>0</v>
      </c>
      <c r="E216" s="17">
        <v>20101001</v>
      </c>
      <c r="F216" s="7" t="s">
        <v>17</v>
      </c>
      <c r="G216" s="355">
        <v>390000</v>
      </c>
      <c r="H216" s="355">
        <v>406000</v>
      </c>
      <c r="I216" s="355">
        <v>405222.77799999999</v>
      </c>
      <c r="J216" s="355">
        <v>0</v>
      </c>
      <c r="K216" s="137">
        <v>410000</v>
      </c>
      <c r="L216" s="362">
        <f t="shared" si="71"/>
        <v>1.0512820512820513</v>
      </c>
      <c r="M216" s="161"/>
      <c r="N216" s="188"/>
      <c r="O216" s="187"/>
      <c r="P216" s="305">
        <v>0</v>
      </c>
    </row>
    <row r="217" spans="2:16" s="25" customFormat="1" x14ac:dyDescent="0.2">
      <c r="B217" s="557"/>
      <c r="C217" s="556"/>
      <c r="D217" s="556"/>
      <c r="E217" s="17">
        <v>20103001</v>
      </c>
      <c r="F217" s="7" t="s">
        <v>342</v>
      </c>
      <c r="G217" s="355">
        <v>76000</v>
      </c>
      <c r="H217" s="355">
        <v>76000</v>
      </c>
      <c r="I217" s="355">
        <v>75046.990000000005</v>
      </c>
      <c r="J217" s="355">
        <v>0</v>
      </c>
      <c r="K217" s="137">
        <v>80000</v>
      </c>
      <c r="L217" s="362">
        <f t="shared" si="71"/>
        <v>1.0526315789473684</v>
      </c>
      <c r="M217" s="161"/>
      <c r="N217" s="188"/>
      <c r="O217" s="187"/>
      <c r="P217" s="305">
        <v>0</v>
      </c>
    </row>
    <row r="218" spans="2:16" s="25" customFormat="1" x14ac:dyDescent="0.2">
      <c r="B218" s="557"/>
      <c r="C218" s="556"/>
      <c r="D218" s="556"/>
      <c r="E218" s="17">
        <v>22601001</v>
      </c>
      <c r="F218" s="7" t="s">
        <v>252</v>
      </c>
      <c r="G218" s="355">
        <v>1000</v>
      </c>
      <c r="H218" s="355">
        <v>800</v>
      </c>
      <c r="I218" s="355">
        <v>0</v>
      </c>
      <c r="J218" s="355">
        <v>0</v>
      </c>
      <c r="K218" s="137">
        <v>1000</v>
      </c>
      <c r="L218" s="362">
        <f t="shared" si="71"/>
        <v>1</v>
      </c>
      <c r="M218" s="161"/>
      <c r="N218" s="188"/>
      <c r="O218" s="187"/>
      <c r="P218" s="305">
        <v>1000</v>
      </c>
    </row>
    <row r="219" spans="2:16" s="25" customFormat="1" x14ac:dyDescent="0.2">
      <c r="B219" s="557"/>
      <c r="C219" s="556"/>
      <c r="D219" s="556"/>
      <c r="E219" s="17">
        <v>23603002</v>
      </c>
      <c r="F219" s="7" t="s">
        <v>68</v>
      </c>
      <c r="G219" s="355">
        <v>75</v>
      </c>
      <c r="H219" s="355">
        <v>275</v>
      </c>
      <c r="I219" s="355">
        <v>146.91999999999999</v>
      </c>
      <c r="J219" s="355">
        <v>125.15</v>
      </c>
      <c r="K219" s="137">
        <v>75</v>
      </c>
      <c r="L219" s="362">
        <f t="shared" si="71"/>
        <v>1</v>
      </c>
      <c r="M219" s="161"/>
      <c r="N219" s="188"/>
      <c r="O219" s="187"/>
      <c r="P219" s="305">
        <v>75</v>
      </c>
    </row>
    <row r="220" spans="2:16" s="25" customFormat="1" x14ac:dyDescent="0.2">
      <c r="B220" s="557"/>
      <c r="C220" s="556"/>
      <c r="D220" s="556"/>
      <c r="E220" s="538" t="s">
        <v>344</v>
      </c>
      <c r="F220" s="538"/>
      <c r="G220" s="151">
        <f t="shared" ref="G220:K220" si="78">SUM(G216:G219)</f>
        <v>467075</v>
      </c>
      <c r="H220" s="151">
        <f t="shared" si="78"/>
        <v>483075</v>
      </c>
      <c r="I220" s="151">
        <f>SUM(I216:I219)</f>
        <v>480416.68799999997</v>
      </c>
      <c r="J220" s="151">
        <f t="shared" si="78"/>
        <v>125.15</v>
      </c>
      <c r="K220" s="151">
        <f t="shared" si="78"/>
        <v>491075</v>
      </c>
      <c r="L220" s="362">
        <f t="shared" si="71"/>
        <v>1.0513836107691483</v>
      </c>
      <c r="M220" s="184"/>
      <c r="N220" s="188"/>
      <c r="O220" s="187"/>
      <c r="P220" s="151">
        <f>SUM(P216:P219)</f>
        <v>1075</v>
      </c>
    </row>
    <row r="221" spans="2:16" s="25" customFormat="1" x14ac:dyDescent="0.2">
      <c r="B221" s="557"/>
      <c r="C221" s="556"/>
      <c r="D221" s="556"/>
      <c r="E221" s="29">
        <v>25603001</v>
      </c>
      <c r="F221" s="12" t="s">
        <v>489</v>
      </c>
      <c r="G221" s="355">
        <v>2000</v>
      </c>
      <c r="H221" s="355">
        <v>0</v>
      </c>
      <c r="I221" s="355">
        <v>0</v>
      </c>
      <c r="J221" s="355">
        <v>0</v>
      </c>
      <c r="K221" s="137">
        <v>2000</v>
      </c>
      <c r="L221" s="362">
        <f t="shared" si="71"/>
        <v>1</v>
      </c>
      <c r="M221" s="161"/>
      <c r="N221" s="188"/>
      <c r="O221" s="187"/>
      <c r="P221" s="305">
        <v>2000</v>
      </c>
    </row>
    <row r="222" spans="2:16" s="25" customFormat="1" x14ac:dyDescent="0.2">
      <c r="B222" s="557"/>
      <c r="C222" s="556"/>
      <c r="D222" s="556"/>
      <c r="E222" s="439" t="s">
        <v>346</v>
      </c>
      <c r="F222" s="439"/>
      <c r="G222" s="144">
        <f t="shared" ref="G222:K222" si="79">SUM(G221:G221)</f>
        <v>2000</v>
      </c>
      <c r="H222" s="144">
        <f t="shared" si="79"/>
        <v>0</v>
      </c>
      <c r="I222" s="144">
        <f t="shared" si="79"/>
        <v>0</v>
      </c>
      <c r="J222" s="144">
        <f t="shared" si="79"/>
        <v>0</v>
      </c>
      <c r="K222" s="144">
        <f t="shared" si="79"/>
        <v>2000</v>
      </c>
      <c r="L222" s="362">
        <f t="shared" si="71"/>
        <v>1</v>
      </c>
      <c r="M222" s="184"/>
      <c r="N222" s="188"/>
      <c r="O222" s="187"/>
      <c r="P222" s="144">
        <f>SUM(P221:P221)</f>
        <v>2000</v>
      </c>
    </row>
    <row r="223" spans="2:16" s="25" customFormat="1" x14ac:dyDescent="0.2">
      <c r="B223" s="539" t="s">
        <v>345</v>
      </c>
      <c r="C223" s="539"/>
      <c r="D223" s="539"/>
      <c r="E223" s="539"/>
      <c r="F223" s="539"/>
      <c r="G223" s="134">
        <f t="shared" ref="G223:K223" si="80">G220+G222</f>
        <v>469075</v>
      </c>
      <c r="H223" s="134">
        <f t="shared" si="80"/>
        <v>483075</v>
      </c>
      <c r="I223" s="134">
        <f t="shared" si="80"/>
        <v>480416.68799999997</v>
      </c>
      <c r="J223" s="134">
        <f t="shared" si="80"/>
        <v>125.15</v>
      </c>
      <c r="K223" s="134">
        <f t="shared" si="80"/>
        <v>493075</v>
      </c>
      <c r="L223" s="362">
        <f t="shared" si="71"/>
        <v>1.0511645259286895</v>
      </c>
      <c r="M223" s="184"/>
      <c r="N223" s="188"/>
      <c r="O223" s="187"/>
      <c r="P223" s="134">
        <f>P220+P222</f>
        <v>3075</v>
      </c>
    </row>
    <row r="224" spans="2:16" s="25" customFormat="1" x14ac:dyDescent="0.2">
      <c r="B224" s="557" t="s">
        <v>371</v>
      </c>
      <c r="C224" s="556">
        <v>43</v>
      </c>
      <c r="D224" s="556">
        <v>0</v>
      </c>
      <c r="E224" s="17">
        <v>20103001</v>
      </c>
      <c r="F224" s="7" t="s">
        <v>342</v>
      </c>
      <c r="G224" s="355">
        <v>36000</v>
      </c>
      <c r="H224" s="355">
        <v>36000</v>
      </c>
      <c r="I224" s="355">
        <v>34968.709000000003</v>
      </c>
      <c r="J224" s="355">
        <v>0</v>
      </c>
      <c r="K224" s="137">
        <v>36000</v>
      </c>
      <c r="L224" s="362">
        <f t="shared" si="71"/>
        <v>1</v>
      </c>
      <c r="M224" s="161"/>
      <c r="N224" s="188"/>
      <c r="O224" s="187"/>
      <c r="P224" s="5">
        <v>0</v>
      </c>
    </row>
    <row r="225" spans="2:16" s="25" customFormat="1" x14ac:dyDescent="0.2">
      <c r="B225" s="557"/>
      <c r="C225" s="556"/>
      <c r="D225" s="556"/>
      <c r="E225" s="17">
        <v>23603002</v>
      </c>
      <c r="F225" s="7" t="s">
        <v>68</v>
      </c>
      <c r="G225" s="355">
        <v>175</v>
      </c>
      <c r="H225" s="355">
        <v>175</v>
      </c>
      <c r="I225" s="355">
        <v>64.8</v>
      </c>
      <c r="J225" s="355">
        <v>100</v>
      </c>
      <c r="K225" s="137">
        <v>175</v>
      </c>
      <c r="L225" s="362">
        <f t="shared" si="71"/>
        <v>1</v>
      </c>
      <c r="M225" s="161"/>
      <c r="N225" s="188"/>
      <c r="O225" s="187"/>
      <c r="P225" s="5">
        <v>0</v>
      </c>
    </row>
    <row r="226" spans="2:16" s="25" customFormat="1" x14ac:dyDescent="0.2">
      <c r="B226" s="557"/>
      <c r="C226" s="556"/>
      <c r="D226" s="556"/>
      <c r="E226" s="538" t="s">
        <v>344</v>
      </c>
      <c r="F226" s="538"/>
      <c r="G226" s="151">
        <f t="shared" ref="G226:K226" si="81">SUM(G224:G225)</f>
        <v>36175</v>
      </c>
      <c r="H226" s="151">
        <f t="shared" si="81"/>
        <v>36175</v>
      </c>
      <c r="I226" s="151">
        <f>SUM(I224:I225)</f>
        <v>35033.509000000005</v>
      </c>
      <c r="J226" s="151">
        <f t="shared" si="81"/>
        <v>100</v>
      </c>
      <c r="K226" s="151">
        <f t="shared" si="81"/>
        <v>36175</v>
      </c>
      <c r="L226" s="362">
        <f t="shared" si="71"/>
        <v>1</v>
      </c>
      <c r="M226" s="184"/>
      <c r="N226" s="188"/>
      <c r="O226" s="187"/>
      <c r="P226" s="151">
        <f>SUM(P224:P225)</f>
        <v>0</v>
      </c>
    </row>
    <row r="227" spans="2:16" s="25" customFormat="1" x14ac:dyDescent="0.2">
      <c r="B227" s="539" t="s">
        <v>345</v>
      </c>
      <c r="C227" s="539"/>
      <c r="D227" s="539"/>
      <c r="E227" s="539"/>
      <c r="F227" s="539"/>
      <c r="G227" s="134">
        <f t="shared" ref="G227:K227" si="82">G226</f>
        <v>36175</v>
      </c>
      <c r="H227" s="134">
        <f t="shared" si="82"/>
        <v>36175</v>
      </c>
      <c r="I227" s="134">
        <f t="shared" si="82"/>
        <v>35033.509000000005</v>
      </c>
      <c r="J227" s="134">
        <f t="shared" si="82"/>
        <v>100</v>
      </c>
      <c r="K227" s="134">
        <f t="shared" si="82"/>
        <v>36175</v>
      </c>
      <c r="L227" s="362">
        <f t="shared" si="71"/>
        <v>1</v>
      </c>
      <c r="M227" s="184"/>
      <c r="N227" s="188"/>
      <c r="O227" s="187"/>
      <c r="P227" s="134">
        <f>P226</f>
        <v>0</v>
      </c>
    </row>
    <row r="228" spans="2:16" s="25" customFormat="1" x14ac:dyDescent="0.2">
      <c r="B228" s="557" t="s">
        <v>483</v>
      </c>
      <c r="C228" s="556">
        <v>45</v>
      </c>
      <c r="D228" s="556">
        <v>0</v>
      </c>
      <c r="E228" s="17">
        <v>23603002</v>
      </c>
      <c r="F228" s="7" t="s">
        <v>68</v>
      </c>
      <c r="G228" s="355">
        <v>75</v>
      </c>
      <c r="H228" s="355">
        <v>75</v>
      </c>
      <c r="I228" s="355">
        <v>0</v>
      </c>
      <c r="J228" s="355">
        <v>0</v>
      </c>
      <c r="K228" s="137">
        <v>75</v>
      </c>
      <c r="L228" s="362">
        <f t="shared" si="71"/>
        <v>1</v>
      </c>
      <c r="M228" s="161"/>
      <c r="N228" s="188"/>
      <c r="O228" s="187"/>
      <c r="P228" s="305">
        <v>75</v>
      </c>
    </row>
    <row r="229" spans="2:16" s="25" customFormat="1" x14ac:dyDescent="0.2">
      <c r="B229" s="557"/>
      <c r="C229" s="556"/>
      <c r="D229" s="556"/>
      <c r="E229" s="538" t="s">
        <v>344</v>
      </c>
      <c r="F229" s="538"/>
      <c r="G229" s="151">
        <f t="shared" ref="G229:K229" si="83">SUM(G228:G228)</f>
        <v>75</v>
      </c>
      <c r="H229" s="151">
        <f t="shared" si="83"/>
        <v>75</v>
      </c>
      <c r="I229" s="151">
        <f t="shared" si="83"/>
        <v>0</v>
      </c>
      <c r="J229" s="151">
        <f t="shared" si="83"/>
        <v>0</v>
      </c>
      <c r="K229" s="151">
        <f t="shared" si="83"/>
        <v>75</v>
      </c>
      <c r="L229" s="362">
        <f t="shared" si="71"/>
        <v>1</v>
      </c>
      <c r="M229" s="184"/>
      <c r="N229" s="188"/>
      <c r="O229" s="187"/>
      <c r="P229" s="151">
        <f>SUM(P228:P228)</f>
        <v>75</v>
      </c>
    </row>
    <row r="230" spans="2:16" s="25" customFormat="1" x14ac:dyDescent="0.2">
      <c r="B230" s="539" t="s">
        <v>345</v>
      </c>
      <c r="C230" s="539"/>
      <c r="D230" s="539"/>
      <c r="E230" s="539"/>
      <c r="F230" s="539"/>
      <c r="G230" s="134">
        <f>SUM(G229,)</f>
        <v>75</v>
      </c>
      <c r="H230" s="134">
        <f t="shared" ref="H230:K230" si="84">SUM(H229,)</f>
        <v>75</v>
      </c>
      <c r="I230" s="134">
        <f t="shared" si="84"/>
        <v>0</v>
      </c>
      <c r="J230" s="134">
        <f t="shared" si="84"/>
        <v>0</v>
      </c>
      <c r="K230" s="134">
        <f t="shared" si="84"/>
        <v>75</v>
      </c>
      <c r="L230" s="362">
        <f t="shared" si="71"/>
        <v>1</v>
      </c>
      <c r="M230" s="184"/>
      <c r="N230" s="188"/>
      <c r="O230" s="187"/>
      <c r="P230" s="134">
        <f>SUM(P229,)</f>
        <v>75</v>
      </c>
    </row>
    <row r="231" spans="2:16" s="25" customFormat="1" x14ac:dyDescent="0.2">
      <c r="B231" s="557" t="s">
        <v>467</v>
      </c>
      <c r="C231" s="556">
        <v>44</v>
      </c>
      <c r="D231" s="556">
        <v>0</v>
      </c>
      <c r="E231" s="17">
        <v>20103001</v>
      </c>
      <c r="F231" s="6" t="s">
        <v>342</v>
      </c>
      <c r="G231" s="355">
        <v>17000</v>
      </c>
      <c r="H231" s="355">
        <v>17000</v>
      </c>
      <c r="I231" s="355">
        <v>15123.880999999999</v>
      </c>
      <c r="J231" s="355">
        <v>0</v>
      </c>
      <c r="K231" s="137">
        <v>17000</v>
      </c>
      <c r="L231" s="362">
        <f t="shared" si="71"/>
        <v>1</v>
      </c>
      <c r="M231" s="161"/>
      <c r="N231" s="188"/>
      <c r="O231" s="187"/>
      <c r="P231" s="305">
        <v>0</v>
      </c>
    </row>
    <row r="232" spans="2:16" s="25" customFormat="1" x14ac:dyDescent="0.2">
      <c r="B232" s="557"/>
      <c r="C232" s="556"/>
      <c r="D232" s="556"/>
      <c r="E232" s="17">
        <v>23603002</v>
      </c>
      <c r="F232" s="7" t="s">
        <v>68</v>
      </c>
      <c r="G232" s="355">
        <v>75</v>
      </c>
      <c r="H232" s="355">
        <v>75</v>
      </c>
      <c r="I232" s="355">
        <v>0</v>
      </c>
      <c r="J232" s="355">
        <v>0</v>
      </c>
      <c r="K232" s="137">
        <v>75</v>
      </c>
      <c r="L232" s="362">
        <f t="shared" si="71"/>
        <v>1</v>
      </c>
      <c r="M232" s="161"/>
      <c r="N232" s="188"/>
      <c r="O232" s="187"/>
      <c r="P232" s="305">
        <v>75</v>
      </c>
    </row>
    <row r="233" spans="2:16" s="25" customFormat="1" x14ac:dyDescent="0.2">
      <c r="B233" s="557"/>
      <c r="C233" s="556"/>
      <c r="D233" s="556"/>
      <c r="E233" s="538" t="s">
        <v>344</v>
      </c>
      <c r="F233" s="538"/>
      <c r="G233" s="151">
        <f>SUM(G231:G232)</f>
        <v>17075</v>
      </c>
      <c r="H233" s="151">
        <f t="shared" ref="H233:K233" si="85">SUM(H231:H232)</f>
        <v>17075</v>
      </c>
      <c r="I233" s="151">
        <f>SUM(I231:I232)</f>
        <v>15123.880999999999</v>
      </c>
      <c r="J233" s="151">
        <f t="shared" si="85"/>
        <v>0</v>
      </c>
      <c r="K233" s="151">
        <f t="shared" si="85"/>
        <v>17075</v>
      </c>
      <c r="L233" s="362">
        <f t="shared" si="71"/>
        <v>1</v>
      </c>
      <c r="M233" s="184"/>
      <c r="N233" s="188"/>
      <c r="O233" s="187"/>
      <c r="P233" s="151">
        <f>SUM(P231:P232)</f>
        <v>75</v>
      </c>
    </row>
    <row r="234" spans="2:16" s="25" customFormat="1" x14ac:dyDescent="0.2">
      <c r="B234" s="539" t="s">
        <v>345</v>
      </c>
      <c r="C234" s="539"/>
      <c r="D234" s="539"/>
      <c r="E234" s="539"/>
      <c r="F234" s="539"/>
      <c r="G234" s="134">
        <f>SUM(G233)</f>
        <v>17075</v>
      </c>
      <c r="H234" s="134">
        <f t="shared" ref="H234:K234" si="86">SUM(H233)</f>
        <v>17075</v>
      </c>
      <c r="I234" s="134">
        <f t="shared" si="86"/>
        <v>15123.880999999999</v>
      </c>
      <c r="J234" s="134">
        <f t="shared" si="86"/>
        <v>0</v>
      </c>
      <c r="K234" s="134">
        <f t="shared" si="86"/>
        <v>17075</v>
      </c>
      <c r="L234" s="362">
        <f t="shared" si="71"/>
        <v>1</v>
      </c>
      <c r="M234" s="184"/>
      <c r="N234" s="188"/>
      <c r="O234" s="187"/>
      <c r="P234" s="134">
        <f>SUM(P233)</f>
        <v>75</v>
      </c>
    </row>
    <row r="235" spans="2:16" s="25" customFormat="1" x14ac:dyDescent="0.2">
      <c r="B235" s="557" t="s">
        <v>372</v>
      </c>
      <c r="C235" s="556">
        <v>46</v>
      </c>
      <c r="D235" s="556">
        <v>0</v>
      </c>
      <c r="E235" s="17">
        <v>23603002</v>
      </c>
      <c r="F235" s="7" t="s">
        <v>68</v>
      </c>
      <c r="G235" s="355">
        <v>75</v>
      </c>
      <c r="H235" s="355">
        <v>75</v>
      </c>
      <c r="I235" s="355">
        <v>0</v>
      </c>
      <c r="J235" s="355">
        <v>0</v>
      </c>
      <c r="K235" s="137">
        <v>75</v>
      </c>
      <c r="L235" s="362">
        <f t="shared" si="71"/>
        <v>1</v>
      </c>
      <c r="M235" s="161"/>
      <c r="N235" s="188"/>
      <c r="O235" s="187"/>
      <c r="P235" s="305">
        <v>75</v>
      </c>
    </row>
    <row r="236" spans="2:16" s="25" customFormat="1" x14ac:dyDescent="0.2">
      <c r="B236" s="557"/>
      <c r="C236" s="556"/>
      <c r="D236" s="556"/>
      <c r="E236" s="538" t="s">
        <v>344</v>
      </c>
      <c r="F236" s="538"/>
      <c r="G236" s="151">
        <f t="shared" ref="G236:K236" si="87">SUM(G235:G235)</f>
        <v>75</v>
      </c>
      <c r="H236" s="151">
        <f t="shared" si="87"/>
        <v>75</v>
      </c>
      <c r="I236" s="151">
        <f t="shared" si="87"/>
        <v>0</v>
      </c>
      <c r="J236" s="151">
        <f t="shared" si="87"/>
        <v>0</v>
      </c>
      <c r="K236" s="151">
        <f t="shared" si="87"/>
        <v>75</v>
      </c>
      <c r="L236" s="362">
        <f t="shared" si="71"/>
        <v>1</v>
      </c>
      <c r="M236" s="184"/>
      <c r="N236" s="188"/>
      <c r="O236" s="187"/>
      <c r="P236" s="151">
        <f>SUM(P235:P235)</f>
        <v>75</v>
      </c>
    </row>
    <row r="237" spans="2:16" s="25" customFormat="1" x14ac:dyDescent="0.2">
      <c r="B237" s="539" t="s">
        <v>345</v>
      </c>
      <c r="C237" s="539"/>
      <c r="D237" s="539"/>
      <c r="E237" s="539"/>
      <c r="F237" s="539"/>
      <c r="G237" s="134">
        <f t="shared" ref="G237:K237" si="88">G236</f>
        <v>75</v>
      </c>
      <c r="H237" s="134">
        <f t="shared" si="88"/>
        <v>75</v>
      </c>
      <c r="I237" s="134">
        <f t="shared" si="88"/>
        <v>0</v>
      </c>
      <c r="J237" s="134">
        <f t="shared" si="88"/>
        <v>0</v>
      </c>
      <c r="K237" s="134">
        <f t="shared" si="88"/>
        <v>75</v>
      </c>
      <c r="L237" s="362">
        <f t="shared" si="71"/>
        <v>1</v>
      </c>
      <c r="M237" s="184"/>
      <c r="N237" s="188"/>
      <c r="O237" s="187"/>
      <c r="P237" s="134">
        <f>P236</f>
        <v>75</v>
      </c>
    </row>
    <row r="238" spans="2:16" s="25" customFormat="1" x14ac:dyDescent="0.2">
      <c r="B238" s="557" t="s">
        <v>413</v>
      </c>
      <c r="C238" s="556">
        <v>47</v>
      </c>
      <c r="D238" s="556">
        <v>0</v>
      </c>
      <c r="E238" s="17">
        <v>20103001</v>
      </c>
      <c r="F238" s="7" t="s">
        <v>342</v>
      </c>
      <c r="G238" s="355">
        <v>147000</v>
      </c>
      <c r="H238" s="355">
        <v>150000</v>
      </c>
      <c r="I238" s="355">
        <v>149561.65599999999</v>
      </c>
      <c r="J238" s="355">
        <v>0</v>
      </c>
      <c r="K238" s="137">
        <v>150000</v>
      </c>
      <c r="L238" s="362">
        <f t="shared" si="71"/>
        <v>1.0204081632653061</v>
      </c>
      <c r="M238" s="161"/>
      <c r="N238" s="188"/>
      <c r="O238" s="187"/>
      <c r="P238" s="305">
        <v>0</v>
      </c>
    </row>
    <row r="239" spans="2:16" s="25" customFormat="1" x14ac:dyDescent="0.2">
      <c r="B239" s="557"/>
      <c r="C239" s="556"/>
      <c r="D239" s="556"/>
      <c r="E239" s="17">
        <v>23603002</v>
      </c>
      <c r="F239" s="7" t="s">
        <v>68</v>
      </c>
      <c r="G239" s="355">
        <v>75</v>
      </c>
      <c r="H239" s="355">
        <v>75</v>
      </c>
      <c r="I239" s="355">
        <v>75</v>
      </c>
      <c r="J239" s="355">
        <v>0</v>
      </c>
      <c r="K239" s="137">
        <v>75</v>
      </c>
      <c r="L239" s="362">
        <f t="shared" si="71"/>
        <v>1</v>
      </c>
      <c r="M239" s="161"/>
      <c r="N239" s="188"/>
      <c r="O239" s="187"/>
      <c r="P239" s="305">
        <v>75</v>
      </c>
    </row>
    <row r="240" spans="2:16" s="25" customFormat="1" x14ac:dyDescent="0.2">
      <c r="B240" s="557"/>
      <c r="C240" s="556"/>
      <c r="D240" s="556"/>
      <c r="E240" s="538" t="s">
        <v>344</v>
      </c>
      <c r="F240" s="538"/>
      <c r="G240" s="151">
        <f t="shared" ref="G240:K240" si="89">SUM(G238:G239)</f>
        <v>147075</v>
      </c>
      <c r="H240" s="151">
        <f t="shared" si="89"/>
        <v>150075</v>
      </c>
      <c r="I240" s="151">
        <f t="shared" si="89"/>
        <v>149636.65599999999</v>
      </c>
      <c r="J240" s="151">
        <f t="shared" si="89"/>
        <v>0</v>
      </c>
      <c r="K240" s="151">
        <f t="shared" si="89"/>
        <v>150075</v>
      </c>
      <c r="L240" s="362">
        <f t="shared" si="71"/>
        <v>1.0203977562468129</v>
      </c>
      <c r="M240" s="184"/>
      <c r="N240" s="188"/>
      <c r="O240" s="187"/>
      <c r="P240" s="151">
        <f>SUM(P238:P239)</f>
        <v>75</v>
      </c>
    </row>
    <row r="241" spans="2:16" s="25" customFormat="1" x14ac:dyDescent="0.2">
      <c r="B241" s="557"/>
      <c r="C241" s="556"/>
      <c r="D241" s="556"/>
      <c r="E241" s="17">
        <v>25601001</v>
      </c>
      <c r="F241" s="7" t="s">
        <v>486</v>
      </c>
      <c r="G241" s="355">
        <v>2000</v>
      </c>
      <c r="H241" s="355">
        <v>2000</v>
      </c>
      <c r="I241" s="355">
        <v>1189</v>
      </c>
      <c r="J241" s="355">
        <v>0</v>
      </c>
      <c r="K241" s="137">
        <v>45000</v>
      </c>
      <c r="L241" s="362">
        <f t="shared" si="71"/>
        <v>22.5</v>
      </c>
      <c r="M241" s="161"/>
      <c r="N241" s="188"/>
      <c r="O241" s="187"/>
      <c r="P241" s="305">
        <v>75000</v>
      </c>
    </row>
    <row r="242" spans="2:16" s="25" customFormat="1" x14ac:dyDescent="0.2">
      <c r="B242" s="557"/>
      <c r="C242" s="556"/>
      <c r="D242" s="556"/>
      <c r="E242" s="29">
        <v>25602001</v>
      </c>
      <c r="F242" s="12" t="s">
        <v>145</v>
      </c>
      <c r="G242" s="355">
        <v>25000</v>
      </c>
      <c r="H242" s="355">
        <v>25000</v>
      </c>
      <c r="I242" s="355">
        <v>21332.720000000001</v>
      </c>
      <c r="J242" s="355">
        <v>2861.24</v>
      </c>
      <c r="K242" s="137">
        <v>30000</v>
      </c>
      <c r="L242" s="362">
        <f t="shared" si="71"/>
        <v>1.2</v>
      </c>
      <c r="M242" s="161"/>
      <c r="N242" s="188"/>
      <c r="O242" s="187"/>
      <c r="P242" s="305">
        <v>35000</v>
      </c>
    </row>
    <row r="243" spans="2:16" s="25" customFormat="1" x14ac:dyDescent="0.2">
      <c r="B243" s="557"/>
      <c r="C243" s="556"/>
      <c r="D243" s="556"/>
      <c r="E243" s="29">
        <v>25603001</v>
      </c>
      <c r="F243" s="12" t="s">
        <v>489</v>
      </c>
      <c r="G243" s="355">
        <v>30000</v>
      </c>
      <c r="H243" s="355">
        <v>20000</v>
      </c>
      <c r="I243" s="355">
        <v>6785.9989999999998</v>
      </c>
      <c r="J243" s="355">
        <v>12489.001</v>
      </c>
      <c r="K243" s="137">
        <v>30000</v>
      </c>
      <c r="L243" s="362">
        <f t="shared" si="71"/>
        <v>1</v>
      </c>
      <c r="M243" s="161"/>
      <c r="N243" s="188"/>
      <c r="O243" s="187"/>
      <c r="P243" s="305">
        <v>30000</v>
      </c>
    </row>
    <row r="244" spans="2:16" s="25" customFormat="1" x14ac:dyDescent="0.2">
      <c r="B244" s="557"/>
      <c r="C244" s="556"/>
      <c r="D244" s="556"/>
      <c r="E244" s="439" t="s">
        <v>346</v>
      </c>
      <c r="F244" s="439"/>
      <c r="G244" s="144">
        <f t="shared" ref="G244:J244" si="90">SUM(G241:G243)</f>
        <v>57000</v>
      </c>
      <c r="H244" s="144">
        <f t="shared" si="90"/>
        <v>47000</v>
      </c>
      <c r="I244" s="144">
        <f t="shared" si="90"/>
        <v>29307.719000000001</v>
      </c>
      <c r="J244" s="144">
        <f t="shared" si="90"/>
        <v>15350.241</v>
      </c>
      <c r="K244" s="144">
        <f>SUM(K241:K243)</f>
        <v>105000</v>
      </c>
      <c r="L244" s="362">
        <f t="shared" si="71"/>
        <v>1.8421052631578947</v>
      </c>
      <c r="M244" s="184"/>
      <c r="N244" s="188"/>
      <c r="O244" s="187"/>
      <c r="P244" s="144">
        <f>SUM(P241:P243)</f>
        <v>140000</v>
      </c>
    </row>
    <row r="245" spans="2:16" s="25" customFormat="1" x14ac:dyDescent="0.2">
      <c r="B245" s="539" t="s">
        <v>345</v>
      </c>
      <c r="C245" s="539"/>
      <c r="D245" s="539"/>
      <c r="E245" s="539"/>
      <c r="F245" s="539"/>
      <c r="G245" s="134">
        <f t="shared" ref="G245:K245" si="91">G240+G244</f>
        <v>204075</v>
      </c>
      <c r="H245" s="134">
        <f t="shared" si="91"/>
        <v>197075</v>
      </c>
      <c r="I245" s="134">
        <f t="shared" si="91"/>
        <v>178944.375</v>
      </c>
      <c r="J245" s="134">
        <f t="shared" si="91"/>
        <v>15350.241</v>
      </c>
      <c r="K245" s="134">
        <f t="shared" si="91"/>
        <v>255075</v>
      </c>
      <c r="L245" s="362">
        <f t="shared" si="71"/>
        <v>1.2499081220139654</v>
      </c>
      <c r="M245" s="184"/>
      <c r="N245" s="188"/>
      <c r="O245" s="187"/>
      <c r="P245" s="134">
        <f>P240+P244</f>
        <v>140075</v>
      </c>
    </row>
    <row r="246" spans="2:16" s="25" customFormat="1" x14ac:dyDescent="0.2">
      <c r="B246" s="557" t="s">
        <v>373</v>
      </c>
      <c r="C246" s="556">
        <v>48</v>
      </c>
      <c r="D246" s="556">
        <v>0</v>
      </c>
      <c r="E246" s="17">
        <v>20103001</v>
      </c>
      <c r="F246" s="7" t="s">
        <v>342</v>
      </c>
      <c r="G246" s="355">
        <v>15000</v>
      </c>
      <c r="H246" s="355">
        <v>15000</v>
      </c>
      <c r="I246" s="355">
        <v>4668.8999999999996</v>
      </c>
      <c r="J246" s="355">
        <v>0</v>
      </c>
      <c r="K246" s="137">
        <v>10000</v>
      </c>
      <c r="L246" s="362">
        <f t="shared" si="71"/>
        <v>0.66666666666666663</v>
      </c>
      <c r="M246" s="161"/>
      <c r="N246" s="188"/>
      <c r="O246" s="187"/>
      <c r="P246" s="305">
        <v>0</v>
      </c>
    </row>
    <row r="247" spans="2:16" s="25" customFormat="1" x14ac:dyDescent="0.2">
      <c r="B247" s="557"/>
      <c r="C247" s="556"/>
      <c r="D247" s="556"/>
      <c r="E247" s="17">
        <v>23603002</v>
      </c>
      <c r="F247" s="7" t="s">
        <v>68</v>
      </c>
      <c r="G247" s="355">
        <v>75</v>
      </c>
      <c r="H247" s="355">
        <v>75</v>
      </c>
      <c r="I247" s="355">
        <v>0</v>
      </c>
      <c r="J247" s="355">
        <v>0</v>
      </c>
      <c r="K247" s="137">
        <v>75</v>
      </c>
      <c r="L247" s="362">
        <f t="shared" si="71"/>
        <v>1</v>
      </c>
      <c r="M247" s="161"/>
      <c r="N247" s="188"/>
      <c r="O247" s="187"/>
      <c r="P247" s="305">
        <v>75</v>
      </c>
    </row>
    <row r="248" spans="2:16" s="25" customFormat="1" x14ac:dyDescent="0.2">
      <c r="B248" s="557"/>
      <c r="C248" s="556"/>
      <c r="D248" s="556"/>
      <c r="E248" s="538" t="s">
        <v>344</v>
      </c>
      <c r="F248" s="538"/>
      <c r="G248" s="151">
        <f t="shared" ref="G248:K248" si="92">SUM(G246:G247)</f>
        <v>15075</v>
      </c>
      <c r="H248" s="151">
        <f t="shared" si="92"/>
        <v>15075</v>
      </c>
      <c r="I248" s="151">
        <f t="shared" si="92"/>
        <v>4668.8999999999996</v>
      </c>
      <c r="J248" s="151">
        <f t="shared" si="92"/>
        <v>0</v>
      </c>
      <c r="K248" s="151">
        <f t="shared" si="92"/>
        <v>10075</v>
      </c>
      <c r="L248" s="362">
        <f t="shared" si="71"/>
        <v>0.66832504145936977</v>
      </c>
      <c r="M248" s="184"/>
      <c r="N248" s="188"/>
      <c r="O248" s="187"/>
      <c r="P248" s="151">
        <f>SUM(P246:P247)</f>
        <v>75</v>
      </c>
    </row>
    <row r="249" spans="2:16" s="25" customFormat="1" x14ac:dyDescent="0.2">
      <c r="B249" s="539" t="s">
        <v>345</v>
      </c>
      <c r="C249" s="539"/>
      <c r="D249" s="539"/>
      <c r="E249" s="539"/>
      <c r="F249" s="539"/>
      <c r="G249" s="134">
        <f t="shared" ref="G249:K249" si="93">G248</f>
        <v>15075</v>
      </c>
      <c r="H249" s="134">
        <f t="shared" si="93"/>
        <v>15075</v>
      </c>
      <c r="I249" s="134">
        <f t="shared" si="93"/>
        <v>4668.8999999999996</v>
      </c>
      <c r="J249" s="134">
        <f t="shared" si="93"/>
        <v>0</v>
      </c>
      <c r="K249" s="134">
        <f t="shared" si="93"/>
        <v>10075</v>
      </c>
      <c r="L249" s="362">
        <f t="shared" si="71"/>
        <v>0.66832504145936977</v>
      </c>
      <c r="M249" s="184"/>
      <c r="N249" s="188"/>
      <c r="O249" s="187"/>
      <c r="P249" s="134">
        <f>P248</f>
        <v>75</v>
      </c>
    </row>
    <row r="250" spans="2:16" s="25" customFormat="1" x14ac:dyDescent="0.2">
      <c r="B250" s="557" t="s">
        <v>374</v>
      </c>
      <c r="C250" s="556">
        <v>49</v>
      </c>
      <c r="D250" s="556">
        <v>0</v>
      </c>
      <c r="E250" s="17">
        <v>20103001</v>
      </c>
      <c r="F250" s="7" t="s">
        <v>342</v>
      </c>
      <c r="G250" s="355">
        <v>14000</v>
      </c>
      <c r="H250" s="355">
        <v>15000</v>
      </c>
      <c r="I250" s="355">
        <v>14948.851000000001</v>
      </c>
      <c r="J250" s="355">
        <v>0</v>
      </c>
      <c r="K250" s="137">
        <v>16000</v>
      </c>
      <c r="L250" s="362">
        <f t="shared" si="71"/>
        <v>1.1428571428571428</v>
      </c>
      <c r="M250" s="161"/>
      <c r="N250" s="188"/>
      <c r="O250" s="187"/>
      <c r="P250" s="305">
        <v>0</v>
      </c>
    </row>
    <row r="251" spans="2:16" s="25" customFormat="1" x14ac:dyDescent="0.2">
      <c r="B251" s="557"/>
      <c r="C251" s="556"/>
      <c r="D251" s="556"/>
      <c r="E251" s="17">
        <v>23603002</v>
      </c>
      <c r="F251" s="7" t="s">
        <v>68</v>
      </c>
      <c r="G251" s="355">
        <v>75</v>
      </c>
      <c r="H251" s="355">
        <v>75</v>
      </c>
      <c r="I251" s="355">
        <v>75</v>
      </c>
      <c r="J251" s="355">
        <v>0</v>
      </c>
      <c r="K251" s="137">
        <v>75</v>
      </c>
      <c r="L251" s="362">
        <f t="shared" si="71"/>
        <v>1</v>
      </c>
      <c r="M251" s="161"/>
      <c r="N251" s="188"/>
      <c r="O251" s="187"/>
      <c r="P251" s="305">
        <v>0</v>
      </c>
    </row>
    <row r="252" spans="2:16" s="25" customFormat="1" x14ac:dyDescent="0.2">
      <c r="B252" s="557"/>
      <c r="C252" s="556"/>
      <c r="D252" s="556"/>
      <c r="E252" s="538" t="s">
        <v>344</v>
      </c>
      <c r="F252" s="538"/>
      <c r="G252" s="151">
        <f t="shared" ref="G252:K252" si="94">SUM(G250:G251)</f>
        <v>14075</v>
      </c>
      <c r="H252" s="151">
        <f t="shared" si="94"/>
        <v>15075</v>
      </c>
      <c r="I252" s="151">
        <f t="shared" si="94"/>
        <v>15023.851000000001</v>
      </c>
      <c r="J252" s="151">
        <f t="shared" si="94"/>
        <v>0</v>
      </c>
      <c r="K252" s="151">
        <f t="shared" si="94"/>
        <v>16075</v>
      </c>
      <c r="L252" s="362">
        <f t="shared" si="71"/>
        <v>1.1420959147424512</v>
      </c>
      <c r="M252" s="184"/>
      <c r="N252" s="188"/>
      <c r="O252" s="187"/>
      <c r="P252" s="151">
        <f>SUM(P250:P251)</f>
        <v>0</v>
      </c>
    </row>
    <row r="253" spans="2:16" s="25" customFormat="1" x14ac:dyDescent="0.2">
      <c r="B253" s="539" t="s">
        <v>345</v>
      </c>
      <c r="C253" s="539"/>
      <c r="D253" s="539"/>
      <c r="E253" s="539"/>
      <c r="F253" s="539"/>
      <c r="G253" s="134">
        <f>SUM(G252)</f>
        <v>14075</v>
      </c>
      <c r="H253" s="134">
        <f t="shared" ref="H253:K253" si="95">SUM(H252)</f>
        <v>15075</v>
      </c>
      <c r="I253" s="134">
        <f t="shared" si="95"/>
        <v>15023.851000000001</v>
      </c>
      <c r="J253" s="134">
        <f t="shared" si="95"/>
        <v>0</v>
      </c>
      <c r="K253" s="134">
        <f t="shared" si="95"/>
        <v>16075</v>
      </c>
      <c r="L253" s="362">
        <f t="shared" si="71"/>
        <v>1.1420959147424512</v>
      </c>
      <c r="M253" s="184"/>
      <c r="N253" s="188"/>
      <c r="O253" s="187"/>
      <c r="P253" s="134">
        <f>SUM(P252)</f>
        <v>0</v>
      </c>
    </row>
    <row r="254" spans="2:16" s="25" customFormat="1" x14ac:dyDescent="0.2">
      <c r="B254" s="542" t="s">
        <v>375</v>
      </c>
      <c r="C254" s="543">
        <v>51</v>
      </c>
      <c r="D254" s="543">
        <v>0</v>
      </c>
      <c r="E254" s="17">
        <v>20103001</v>
      </c>
      <c r="F254" s="7" t="s">
        <v>342</v>
      </c>
      <c r="G254" s="355">
        <v>370000</v>
      </c>
      <c r="H254" s="355">
        <v>370000</v>
      </c>
      <c r="I254" s="355">
        <v>358519.95299999998</v>
      </c>
      <c r="J254" s="355">
        <v>0</v>
      </c>
      <c r="K254" s="137">
        <v>370000</v>
      </c>
      <c r="L254" s="362">
        <f t="shared" si="71"/>
        <v>1</v>
      </c>
      <c r="M254" s="161"/>
      <c r="N254" s="188"/>
      <c r="O254" s="187"/>
      <c r="P254" s="305">
        <v>0</v>
      </c>
    </row>
    <row r="255" spans="2:16" s="25" customFormat="1" x14ac:dyDescent="0.2">
      <c r="B255" s="542"/>
      <c r="C255" s="543"/>
      <c r="D255" s="543"/>
      <c r="E255" s="17">
        <v>23603002</v>
      </c>
      <c r="F255" s="7" t="s">
        <v>68</v>
      </c>
      <c r="G255" s="355">
        <v>75</v>
      </c>
      <c r="H255" s="355">
        <v>75</v>
      </c>
      <c r="I255" s="355">
        <v>0</v>
      </c>
      <c r="J255" s="355">
        <v>50</v>
      </c>
      <c r="K255" s="137">
        <v>75</v>
      </c>
      <c r="L255" s="362">
        <f t="shared" si="71"/>
        <v>1</v>
      </c>
      <c r="M255" s="161"/>
      <c r="N255" s="188"/>
      <c r="O255" s="187"/>
      <c r="P255" s="305">
        <v>75</v>
      </c>
    </row>
    <row r="256" spans="2:16" s="25" customFormat="1" x14ac:dyDescent="0.2">
      <c r="B256" s="542"/>
      <c r="C256" s="543"/>
      <c r="D256" s="543"/>
      <c r="E256" s="538" t="s">
        <v>344</v>
      </c>
      <c r="F256" s="538"/>
      <c r="G256" s="151">
        <f t="shared" ref="G256:K256" si="96">SUM(G254:G255)</f>
        <v>370075</v>
      </c>
      <c r="H256" s="151">
        <f t="shared" si="96"/>
        <v>370075</v>
      </c>
      <c r="I256" s="151">
        <f t="shared" si="96"/>
        <v>358519.95299999998</v>
      </c>
      <c r="J256" s="151">
        <f t="shared" si="96"/>
        <v>50</v>
      </c>
      <c r="K256" s="151">
        <f t="shared" si="96"/>
        <v>370075</v>
      </c>
      <c r="L256" s="362">
        <f t="shared" si="71"/>
        <v>1</v>
      </c>
      <c r="M256" s="184"/>
      <c r="N256" s="188"/>
      <c r="O256" s="187"/>
      <c r="P256" s="151">
        <f>SUM(P254:P255)</f>
        <v>75</v>
      </c>
    </row>
    <row r="257" spans="2:16" s="25" customFormat="1" x14ac:dyDescent="0.2">
      <c r="B257" s="539" t="s">
        <v>345</v>
      </c>
      <c r="C257" s="539"/>
      <c r="D257" s="539"/>
      <c r="E257" s="539"/>
      <c r="F257" s="539"/>
      <c r="G257" s="134">
        <f t="shared" ref="G257:K257" si="97">G256</f>
        <v>370075</v>
      </c>
      <c r="H257" s="134">
        <f t="shared" si="97"/>
        <v>370075</v>
      </c>
      <c r="I257" s="134">
        <f t="shared" si="97"/>
        <v>358519.95299999998</v>
      </c>
      <c r="J257" s="134">
        <f t="shared" si="97"/>
        <v>50</v>
      </c>
      <c r="K257" s="134">
        <f t="shared" si="97"/>
        <v>370075</v>
      </c>
      <c r="L257" s="362">
        <f t="shared" si="71"/>
        <v>1</v>
      </c>
      <c r="M257" s="184"/>
      <c r="N257" s="188"/>
      <c r="O257" s="187"/>
      <c r="P257" s="134">
        <f>P256</f>
        <v>75</v>
      </c>
    </row>
    <row r="258" spans="2:16" s="25" customFormat="1" x14ac:dyDescent="0.2">
      <c r="B258" s="542" t="s">
        <v>522</v>
      </c>
      <c r="C258" s="543">
        <v>52</v>
      </c>
      <c r="D258" s="543">
        <v>0</v>
      </c>
      <c r="E258" s="17">
        <v>20103001</v>
      </c>
      <c r="F258" s="7" t="s">
        <v>342</v>
      </c>
      <c r="G258" s="355">
        <v>117000</v>
      </c>
      <c r="H258" s="355">
        <v>120100</v>
      </c>
      <c r="I258" s="355">
        <v>120003.088</v>
      </c>
      <c r="J258" s="355">
        <v>0</v>
      </c>
      <c r="K258" s="137">
        <v>130000</v>
      </c>
      <c r="L258" s="362">
        <f t="shared" si="71"/>
        <v>1.1111111111111112</v>
      </c>
      <c r="M258" s="161"/>
      <c r="N258" s="188"/>
      <c r="O258" s="187"/>
      <c r="P258" s="305">
        <v>0</v>
      </c>
    </row>
    <row r="259" spans="2:16" s="25" customFormat="1" x14ac:dyDescent="0.2">
      <c r="B259" s="542"/>
      <c r="C259" s="543"/>
      <c r="D259" s="543"/>
      <c r="E259" s="17">
        <v>23603002</v>
      </c>
      <c r="F259" s="7" t="s">
        <v>68</v>
      </c>
      <c r="G259" s="355">
        <v>75</v>
      </c>
      <c r="H259" s="355">
        <v>75</v>
      </c>
      <c r="I259" s="355">
        <v>75</v>
      </c>
      <c r="J259" s="355">
        <v>0</v>
      </c>
      <c r="K259" s="137">
        <v>75</v>
      </c>
      <c r="L259" s="362">
        <f t="shared" si="71"/>
        <v>1</v>
      </c>
      <c r="M259" s="161"/>
      <c r="N259" s="188"/>
      <c r="O259" s="187"/>
      <c r="P259" s="305">
        <v>0</v>
      </c>
    </row>
    <row r="260" spans="2:16" s="25" customFormat="1" x14ac:dyDescent="0.2">
      <c r="B260" s="542"/>
      <c r="C260" s="543"/>
      <c r="D260" s="543"/>
      <c r="E260" s="538" t="s">
        <v>344</v>
      </c>
      <c r="F260" s="538"/>
      <c r="G260" s="151">
        <f t="shared" ref="G260:K260" si="98">SUM(G258:G259)</f>
        <v>117075</v>
      </c>
      <c r="H260" s="151">
        <f t="shared" si="98"/>
        <v>120175</v>
      </c>
      <c r="I260" s="151">
        <f t="shared" si="98"/>
        <v>120078.088</v>
      </c>
      <c r="J260" s="151">
        <f t="shared" si="98"/>
        <v>0</v>
      </c>
      <c r="K260" s="151">
        <f t="shared" si="98"/>
        <v>130075</v>
      </c>
      <c r="L260" s="362">
        <f t="shared" si="71"/>
        <v>1.1110399316677344</v>
      </c>
      <c r="M260" s="184"/>
      <c r="N260" s="188"/>
      <c r="O260" s="187"/>
      <c r="P260" s="151">
        <f>SUM(P258:P259)</f>
        <v>0</v>
      </c>
    </row>
    <row r="261" spans="2:16" s="25" customFormat="1" x14ac:dyDescent="0.2">
      <c r="B261" s="542"/>
      <c r="C261" s="543"/>
      <c r="D261" s="543"/>
      <c r="E261" s="17">
        <v>25901001</v>
      </c>
      <c r="F261" s="7" t="s">
        <v>106</v>
      </c>
      <c r="G261" s="355">
        <v>400000</v>
      </c>
      <c r="H261" s="355">
        <v>400000</v>
      </c>
      <c r="I261" s="355">
        <v>295103.71399999998</v>
      </c>
      <c r="J261" s="355">
        <v>0</v>
      </c>
      <c r="K261" s="137">
        <v>300000</v>
      </c>
      <c r="L261" s="362">
        <f t="shared" ref="L261:L324" si="99">IFERROR(K261/G261,"")</f>
        <v>0.75</v>
      </c>
      <c r="M261" s="161"/>
      <c r="N261" s="188"/>
      <c r="O261" s="187"/>
      <c r="P261" s="305">
        <v>300000</v>
      </c>
    </row>
    <row r="262" spans="2:16" s="25" customFormat="1" x14ac:dyDescent="0.2">
      <c r="B262" s="542"/>
      <c r="C262" s="543"/>
      <c r="D262" s="543"/>
      <c r="E262" s="29">
        <v>25902001</v>
      </c>
      <c r="F262" s="12" t="s">
        <v>95</v>
      </c>
      <c r="G262" s="355">
        <v>10000</v>
      </c>
      <c r="H262" s="355">
        <v>10000</v>
      </c>
      <c r="I262" s="355">
        <v>200</v>
      </c>
      <c r="J262" s="355">
        <v>0</v>
      </c>
      <c r="K262" s="137">
        <v>10000</v>
      </c>
      <c r="L262" s="362">
        <f t="shared" si="99"/>
        <v>1</v>
      </c>
      <c r="M262" s="161"/>
      <c r="N262" s="188"/>
      <c r="O262" s="187"/>
      <c r="P262" s="305">
        <v>10000</v>
      </c>
    </row>
    <row r="263" spans="2:16" s="25" customFormat="1" x14ac:dyDescent="0.2">
      <c r="B263" s="542"/>
      <c r="C263" s="543"/>
      <c r="D263" s="543"/>
      <c r="E263" s="560" t="s">
        <v>376</v>
      </c>
      <c r="F263" s="560"/>
      <c r="G263" s="152">
        <f t="shared" ref="G263:J263" si="100">SUM(G261:G262)</f>
        <v>410000</v>
      </c>
      <c r="H263" s="152">
        <f t="shared" si="100"/>
        <v>410000</v>
      </c>
      <c r="I263" s="152">
        <f>SUM(I261:I262)</f>
        <v>295303.71399999998</v>
      </c>
      <c r="J263" s="152">
        <f t="shared" si="100"/>
        <v>0</v>
      </c>
      <c r="K263" s="152">
        <f>SUM(K261:K262)</f>
        <v>310000</v>
      </c>
      <c r="L263" s="362">
        <f t="shared" si="99"/>
        <v>0.75609756097560976</v>
      </c>
      <c r="M263" s="184"/>
      <c r="N263" s="188"/>
      <c r="O263" s="187"/>
      <c r="P263" s="152">
        <f>SUM(P261:P262)</f>
        <v>310000</v>
      </c>
    </row>
    <row r="264" spans="2:16" s="25" customFormat="1" x14ac:dyDescent="0.2">
      <c r="B264" s="542"/>
      <c r="C264" s="543"/>
      <c r="D264" s="543"/>
      <c r="E264" s="29">
        <v>26302008</v>
      </c>
      <c r="F264" s="6" t="s">
        <v>470</v>
      </c>
      <c r="G264" s="355">
        <v>15000</v>
      </c>
      <c r="H264" s="355">
        <v>15000</v>
      </c>
      <c r="I264" s="355">
        <v>3009.25</v>
      </c>
      <c r="J264" s="355">
        <v>190.75</v>
      </c>
      <c r="K264" s="137">
        <v>10000</v>
      </c>
      <c r="L264" s="362">
        <f t="shared" si="99"/>
        <v>0.66666666666666663</v>
      </c>
      <c r="M264" s="161"/>
      <c r="N264" s="188"/>
      <c r="O264" s="187"/>
      <c r="P264" s="305">
        <v>2000</v>
      </c>
    </row>
    <row r="265" spans="2:16" s="25" customFormat="1" x14ac:dyDescent="0.2">
      <c r="B265" s="542"/>
      <c r="C265" s="543"/>
      <c r="D265" s="543"/>
      <c r="E265" s="29">
        <v>26402006</v>
      </c>
      <c r="F265" s="6" t="s">
        <v>326</v>
      </c>
      <c r="G265" s="355">
        <v>10000</v>
      </c>
      <c r="H265" s="355">
        <v>10000</v>
      </c>
      <c r="I265" s="355">
        <v>0</v>
      </c>
      <c r="J265" s="355">
        <v>0</v>
      </c>
      <c r="K265" s="137">
        <v>10000</v>
      </c>
      <c r="L265" s="362">
        <f t="shared" si="99"/>
        <v>1</v>
      </c>
      <c r="M265" s="161"/>
      <c r="N265" s="188"/>
      <c r="O265" s="187"/>
      <c r="P265" s="305">
        <v>5000</v>
      </c>
    </row>
    <row r="266" spans="2:16" s="25" customFormat="1" x14ac:dyDescent="0.2">
      <c r="B266" s="542"/>
      <c r="C266" s="543"/>
      <c r="D266" s="543"/>
      <c r="E266" s="459" t="s">
        <v>347</v>
      </c>
      <c r="F266" s="459"/>
      <c r="G266" s="138">
        <f>SUM(G264:G265)</f>
        <v>25000</v>
      </c>
      <c r="H266" s="138">
        <f t="shared" ref="H266:J266" si="101">SUM(H264:H265)</f>
        <v>25000</v>
      </c>
      <c r="I266" s="138">
        <f t="shared" si="101"/>
        <v>3009.25</v>
      </c>
      <c r="J266" s="138">
        <f t="shared" si="101"/>
        <v>190.75</v>
      </c>
      <c r="K266" s="138">
        <f>SUM(K264:K265)</f>
        <v>20000</v>
      </c>
      <c r="L266" s="362">
        <f t="shared" si="99"/>
        <v>0.8</v>
      </c>
      <c r="M266" s="184"/>
      <c r="N266" s="188"/>
      <c r="O266" s="187"/>
      <c r="P266" s="138">
        <f>SUM(P264:P265)</f>
        <v>7000</v>
      </c>
    </row>
    <row r="267" spans="2:16" s="25" customFormat="1" x14ac:dyDescent="0.2">
      <c r="B267" s="539" t="s">
        <v>345</v>
      </c>
      <c r="C267" s="539"/>
      <c r="D267" s="539"/>
      <c r="E267" s="539"/>
      <c r="F267" s="539"/>
      <c r="G267" s="134">
        <f>G260+G263+G266</f>
        <v>552075</v>
      </c>
      <c r="H267" s="134">
        <f t="shared" ref="H267:K267" si="102">H260+H263+H266</f>
        <v>555175</v>
      </c>
      <c r="I267" s="134">
        <f t="shared" si="102"/>
        <v>418391.05199999997</v>
      </c>
      <c r="J267" s="134">
        <f t="shared" si="102"/>
        <v>190.75</v>
      </c>
      <c r="K267" s="134">
        <f t="shared" si="102"/>
        <v>460075</v>
      </c>
      <c r="L267" s="362">
        <f t="shared" si="99"/>
        <v>0.83335597518453108</v>
      </c>
      <c r="M267" s="184"/>
      <c r="N267" s="188"/>
      <c r="O267" s="187"/>
      <c r="P267" s="134">
        <f t="shared" ref="P267" si="103">P260+P263+P266</f>
        <v>317000</v>
      </c>
    </row>
    <row r="268" spans="2:16" s="25" customFormat="1" x14ac:dyDescent="0.2">
      <c r="B268" s="542" t="s">
        <v>377</v>
      </c>
      <c r="C268" s="543">
        <v>53</v>
      </c>
      <c r="D268" s="543">
        <v>0</v>
      </c>
      <c r="E268" s="17">
        <v>20103001</v>
      </c>
      <c r="F268" s="7" t="s">
        <v>342</v>
      </c>
      <c r="G268" s="355">
        <v>266000</v>
      </c>
      <c r="H268" s="355">
        <v>266000</v>
      </c>
      <c r="I268" s="355">
        <v>255317.78200000001</v>
      </c>
      <c r="J268" s="355">
        <v>0</v>
      </c>
      <c r="K268" s="137">
        <v>265000</v>
      </c>
      <c r="L268" s="362">
        <f t="shared" si="99"/>
        <v>0.99624060150375937</v>
      </c>
      <c r="M268" s="161"/>
      <c r="N268" s="188"/>
      <c r="O268" s="187"/>
      <c r="P268" s="305">
        <v>0</v>
      </c>
    </row>
    <row r="269" spans="2:16" s="25" customFormat="1" x14ac:dyDescent="0.2">
      <c r="B269" s="542"/>
      <c r="C269" s="543"/>
      <c r="D269" s="543"/>
      <c r="E269" s="28">
        <v>20117003</v>
      </c>
      <c r="F269" s="10" t="s">
        <v>34</v>
      </c>
      <c r="G269" s="355">
        <v>5000</v>
      </c>
      <c r="H269" s="355">
        <v>5000</v>
      </c>
      <c r="I269" s="355">
        <v>0</v>
      </c>
      <c r="J269" s="355">
        <v>0</v>
      </c>
      <c r="K269" s="137">
        <v>5000</v>
      </c>
      <c r="L269" s="362">
        <f t="shared" si="99"/>
        <v>1</v>
      </c>
      <c r="M269" s="161"/>
      <c r="N269" s="188"/>
      <c r="O269" s="187"/>
      <c r="P269" s="305">
        <v>0</v>
      </c>
    </row>
    <row r="270" spans="2:16" s="25" customFormat="1" x14ac:dyDescent="0.2">
      <c r="B270" s="542"/>
      <c r="C270" s="543"/>
      <c r="D270" s="543"/>
      <c r="E270" s="121">
        <v>21606001</v>
      </c>
      <c r="F270" s="59" t="s">
        <v>41</v>
      </c>
      <c r="G270" s="355"/>
      <c r="H270" s="355"/>
      <c r="I270" s="355"/>
      <c r="J270" s="355"/>
      <c r="K270" s="137">
        <v>30000</v>
      </c>
      <c r="L270" s="362" t="str">
        <f t="shared" si="99"/>
        <v/>
      </c>
      <c r="M270" s="161"/>
      <c r="N270" s="188"/>
      <c r="O270" s="187"/>
      <c r="P270" s="122">
        <v>40000</v>
      </c>
    </row>
    <row r="271" spans="2:16" s="25" customFormat="1" x14ac:dyDescent="0.2">
      <c r="B271" s="542"/>
      <c r="C271" s="543"/>
      <c r="D271" s="543"/>
      <c r="E271" s="17">
        <v>21607001</v>
      </c>
      <c r="F271" s="7" t="s">
        <v>44</v>
      </c>
      <c r="G271" s="355">
        <v>70000</v>
      </c>
      <c r="H271" s="355">
        <v>70000</v>
      </c>
      <c r="I271" s="355">
        <v>18599.789000000001</v>
      </c>
      <c r="J271" s="355">
        <v>43215.250999999997</v>
      </c>
      <c r="K271" s="137">
        <v>70000</v>
      </c>
      <c r="L271" s="362">
        <f t="shared" si="99"/>
        <v>1</v>
      </c>
      <c r="M271" s="161"/>
      <c r="N271" s="188"/>
      <c r="O271" s="187"/>
      <c r="P271" s="305">
        <v>0</v>
      </c>
    </row>
    <row r="272" spans="2:16" s="25" customFormat="1" x14ac:dyDescent="0.2">
      <c r="B272" s="542"/>
      <c r="C272" s="543"/>
      <c r="D272" s="543"/>
      <c r="E272" s="29">
        <v>21607004</v>
      </c>
      <c r="F272" s="12" t="s">
        <v>244</v>
      </c>
      <c r="G272" s="355">
        <v>15000</v>
      </c>
      <c r="H272" s="355">
        <v>15000</v>
      </c>
      <c r="I272" s="355">
        <v>11039.035</v>
      </c>
      <c r="J272" s="355">
        <v>1667.442</v>
      </c>
      <c r="K272" s="137">
        <v>15000</v>
      </c>
      <c r="L272" s="362">
        <f t="shared" si="99"/>
        <v>1</v>
      </c>
      <c r="M272" s="161"/>
      <c r="N272" s="188"/>
      <c r="O272" s="187"/>
      <c r="P272" s="305">
        <v>0</v>
      </c>
    </row>
    <row r="273" spans="2:16" s="25" customFormat="1" x14ac:dyDescent="0.2">
      <c r="B273" s="542"/>
      <c r="C273" s="543"/>
      <c r="D273" s="543"/>
      <c r="E273" s="17">
        <v>23603002</v>
      </c>
      <c r="F273" s="7" t="s">
        <v>68</v>
      </c>
      <c r="G273" s="355">
        <v>75</v>
      </c>
      <c r="H273" s="355">
        <v>75</v>
      </c>
      <c r="I273" s="355">
        <v>75</v>
      </c>
      <c r="J273" s="355">
        <v>0</v>
      </c>
      <c r="K273" s="137">
        <v>75</v>
      </c>
      <c r="L273" s="362">
        <f t="shared" si="99"/>
        <v>1</v>
      </c>
      <c r="M273" s="161"/>
      <c r="N273" s="188"/>
      <c r="O273" s="187"/>
      <c r="P273" s="305">
        <v>0</v>
      </c>
    </row>
    <row r="274" spans="2:16" s="25" customFormat="1" x14ac:dyDescent="0.2">
      <c r="B274" s="542"/>
      <c r="C274" s="543"/>
      <c r="D274" s="543"/>
      <c r="E274" s="538" t="s">
        <v>344</v>
      </c>
      <c r="F274" s="538"/>
      <c r="G274" s="151">
        <f t="shared" ref="G274:K274" si="104">SUM(G268:G273)</f>
        <v>356075</v>
      </c>
      <c r="H274" s="151">
        <f t="shared" si="104"/>
        <v>356075</v>
      </c>
      <c r="I274" s="151">
        <f>SUM(I268:I273)</f>
        <v>285031.60599999997</v>
      </c>
      <c r="J274" s="151">
        <f t="shared" si="104"/>
        <v>44882.692999999999</v>
      </c>
      <c r="K274" s="151">
        <f t="shared" si="104"/>
        <v>385075</v>
      </c>
      <c r="L274" s="362">
        <f t="shared" si="99"/>
        <v>1.0814435161131783</v>
      </c>
      <c r="M274" s="184"/>
      <c r="N274" s="188"/>
      <c r="O274" s="187"/>
      <c r="P274" s="151">
        <f>SUM(P268:P273)</f>
        <v>40000</v>
      </c>
    </row>
    <row r="275" spans="2:16" s="25" customFormat="1" x14ac:dyDescent="0.2">
      <c r="B275" s="542"/>
      <c r="C275" s="543"/>
      <c r="D275" s="543"/>
      <c r="E275" s="17">
        <v>25601004</v>
      </c>
      <c r="F275" s="7" t="s">
        <v>466</v>
      </c>
      <c r="G275" s="355">
        <v>4000</v>
      </c>
      <c r="H275" s="355">
        <v>0</v>
      </c>
      <c r="I275" s="355">
        <v>0</v>
      </c>
      <c r="J275" s="355">
        <v>0</v>
      </c>
      <c r="K275" s="137">
        <v>4000</v>
      </c>
      <c r="L275" s="362">
        <f t="shared" si="99"/>
        <v>1</v>
      </c>
      <c r="M275" s="161"/>
      <c r="N275" s="188"/>
      <c r="O275" s="187"/>
      <c r="P275" s="305">
        <v>0</v>
      </c>
    </row>
    <row r="276" spans="2:16" s="25" customFormat="1" x14ac:dyDescent="0.2">
      <c r="B276" s="542"/>
      <c r="C276" s="543"/>
      <c r="D276" s="543"/>
      <c r="E276" s="439" t="s">
        <v>346</v>
      </c>
      <c r="F276" s="439"/>
      <c r="G276" s="144">
        <f t="shared" ref="G276:K276" si="105">SUM(G275)</f>
        <v>4000</v>
      </c>
      <c r="H276" s="144">
        <f t="shared" si="105"/>
        <v>0</v>
      </c>
      <c r="I276" s="144">
        <f t="shared" si="105"/>
        <v>0</v>
      </c>
      <c r="J276" s="144">
        <f t="shared" si="105"/>
        <v>0</v>
      </c>
      <c r="K276" s="144">
        <f t="shared" si="105"/>
        <v>4000</v>
      </c>
      <c r="L276" s="362">
        <f t="shared" si="99"/>
        <v>1</v>
      </c>
      <c r="M276" s="184"/>
      <c r="N276" s="188"/>
      <c r="O276" s="187"/>
      <c r="P276" s="144">
        <f>SUM(P275)</f>
        <v>0</v>
      </c>
    </row>
    <row r="277" spans="2:16" s="25" customFormat="1" x14ac:dyDescent="0.2">
      <c r="B277" s="542"/>
      <c r="C277" s="543"/>
      <c r="D277" s="543"/>
      <c r="E277" s="17">
        <v>26301001</v>
      </c>
      <c r="F277" s="7" t="s">
        <v>107</v>
      </c>
      <c r="G277" s="355">
        <v>40000</v>
      </c>
      <c r="H277" s="355">
        <v>40000</v>
      </c>
      <c r="I277" s="355">
        <v>2423.1999999999998</v>
      </c>
      <c r="J277" s="355">
        <v>9257.5</v>
      </c>
      <c r="K277" s="137">
        <v>40000</v>
      </c>
      <c r="L277" s="362">
        <f t="shared" si="99"/>
        <v>1</v>
      </c>
      <c r="M277" s="161"/>
      <c r="N277" s="188"/>
      <c r="O277" s="187"/>
      <c r="P277" s="305">
        <v>0</v>
      </c>
    </row>
    <row r="278" spans="2:16" s="25" customFormat="1" x14ac:dyDescent="0.2">
      <c r="B278" s="542"/>
      <c r="C278" s="543"/>
      <c r="D278" s="543"/>
      <c r="E278" s="29">
        <v>26302001</v>
      </c>
      <c r="F278" s="6" t="s">
        <v>248</v>
      </c>
      <c r="G278" s="355">
        <v>30000</v>
      </c>
      <c r="H278" s="355">
        <v>30000</v>
      </c>
      <c r="I278" s="355">
        <v>160</v>
      </c>
      <c r="J278" s="355">
        <v>13200</v>
      </c>
      <c r="K278" s="137">
        <v>15000</v>
      </c>
      <c r="L278" s="362">
        <f t="shared" si="99"/>
        <v>0.5</v>
      </c>
      <c r="M278" s="161"/>
      <c r="N278" s="188"/>
      <c r="O278" s="187"/>
      <c r="P278" s="305">
        <v>0</v>
      </c>
    </row>
    <row r="279" spans="2:16" s="25" customFormat="1" x14ac:dyDescent="0.2">
      <c r="B279" s="542"/>
      <c r="C279" s="543"/>
      <c r="D279" s="543"/>
      <c r="E279" s="459" t="s">
        <v>347</v>
      </c>
      <c r="F279" s="459"/>
      <c r="G279" s="138">
        <f t="shared" ref="G279:K279" si="106">SUM(G277:G278)</f>
        <v>70000</v>
      </c>
      <c r="H279" s="138">
        <f t="shared" si="106"/>
        <v>70000</v>
      </c>
      <c r="I279" s="138">
        <f t="shared" si="106"/>
        <v>2583.1999999999998</v>
      </c>
      <c r="J279" s="138">
        <f t="shared" si="106"/>
        <v>22457.5</v>
      </c>
      <c r="K279" s="138">
        <f t="shared" si="106"/>
        <v>55000</v>
      </c>
      <c r="L279" s="362">
        <f t="shared" si="99"/>
        <v>0.7857142857142857</v>
      </c>
      <c r="M279" s="184"/>
      <c r="N279" s="188"/>
      <c r="O279" s="187"/>
      <c r="P279" s="138">
        <f>SUM(P277:P278)</f>
        <v>0</v>
      </c>
    </row>
    <row r="280" spans="2:16" s="25" customFormat="1" x14ac:dyDescent="0.2">
      <c r="B280" s="539" t="s">
        <v>345</v>
      </c>
      <c r="C280" s="539"/>
      <c r="D280" s="539"/>
      <c r="E280" s="539"/>
      <c r="F280" s="539"/>
      <c r="G280" s="134">
        <f t="shared" ref="G280:K280" si="107">G274+G276+G279</f>
        <v>430075</v>
      </c>
      <c r="H280" s="134">
        <f t="shared" si="107"/>
        <v>426075</v>
      </c>
      <c r="I280" s="134">
        <f t="shared" si="107"/>
        <v>287614.80599999998</v>
      </c>
      <c r="J280" s="134">
        <f t="shared" si="107"/>
        <v>67340.192999999999</v>
      </c>
      <c r="K280" s="134">
        <f t="shared" si="107"/>
        <v>444075</v>
      </c>
      <c r="L280" s="362">
        <f t="shared" si="99"/>
        <v>1.0325524617799222</v>
      </c>
      <c r="M280" s="184"/>
      <c r="N280" s="188"/>
      <c r="O280" s="187"/>
      <c r="P280" s="134">
        <f>P274+P276+P279</f>
        <v>40000</v>
      </c>
    </row>
    <row r="281" spans="2:16" s="25" customFormat="1" x14ac:dyDescent="0.2">
      <c r="B281" s="542" t="s">
        <v>378</v>
      </c>
      <c r="C281" s="543">
        <v>54</v>
      </c>
      <c r="D281" s="543">
        <v>0</v>
      </c>
      <c r="E281" s="17">
        <v>20103001</v>
      </c>
      <c r="F281" s="7" t="s">
        <v>342</v>
      </c>
      <c r="G281" s="355">
        <v>203000</v>
      </c>
      <c r="H281" s="355">
        <v>227000</v>
      </c>
      <c r="I281" s="355">
        <v>225066.42</v>
      </c>
      <c r="J281" s="355">
        <v>0</v>
      </c>
      <c r="K281" s="137">
        <v>230000</v>
      </c>
      <c r="L281" s="362">
        <f t="shared" si="99"/>
        <v>1.1330049261083743</v>
      </c>
      <c r="M281" s="161"/>
      <c r="N281" s="188"/>
      <c r="O281" s="187"/>
      <c r="P281" s="305">
        <v>0</v>
      </c>
    </row>
    <row r="282" spans="2:16" s="25" customFormat="1" x14ac:dyDescent="0.2">
      <c r="B282" s="542"/>
      <c r="C282" s="543"/>
      <c r="D282" s="543"/>
      <c r="E282" s="123"/>
      <c r="F282" s="60" t="s">
        <v>517</v>
      </c>
      <c r="G282" s="231"/>
      <c r="H282" s="231"/>
      <c r="I282" s="231"/>
      <c r="J282" s="231"/>
      <c r="K282" s="137">
        <v>7000</v>
      </c>
      <c r="L282" s="362" t="str">
        <f t="shared" si="99"/>
        <v/>
      </c>
      <c r="M282" s="161"/>
      <c r="N282" s="188"/>
      <c r="O282" s="187"/>
      <c r="P282" s="122">
        <v>7000</v>
      </c>
    </row>
    <row r="283" spans="2:16" s="25" customFormat="1" x14ac:dyDescent="0.2">
      <c r="B283" s="542"/>
      <c r="C283" s="543"/>
      <c r="D283" s="543"/>
      <c r="E283" s="17">
        <v>23603002</v>
      </c>
      <c r="F283" s="7" t="s">
        <v>68</v>
      </c>
      <c r="G283" s="355">
        <v>75</v>
      </c>
      <c r="H283" s="355">
        <v>75</v>
      </c>
      <c r="I283" s="355">
        <v>75</v>
      </c>
      <c r="J283" s="355">
        <v>0</v>
      </c>
      <c r="K283" s="137">
        <v>75</v>
      </c>
      <c r="L283" s="362">
        <f t="shared" si="99"/>
        <v>1</v>
      </c>
      <c r="M283" s="161"/>
      <c r="N283" s="188"/>
      <c r="O283" s="187"/>
      <c r="P283" s="305">
        <v>0</v>
      </c>
    </row>
    <row r="284" spans="2:16" s="25" customFormat="1" x14ac:dyDescent="0.2">
      <c r="B284" s="542"/>
      <c r="C284" s="543"/>
      <c r="D284" s="543"/>
      <c r="E284" s="538" t="s">
        <v>344</v>
      </c>
      <c r="F284" s="538"/>
      <c r="G284" s="151">
        <f t="shared" ref="G284:K284" si="108">SUM(G281:G283)</f>
        <v>203075</v>
      </c>
      <c r="H284" s="151">
        <f t="shared" si="108"/>
        <v>227075</v>
      </c>
      <c r="I284" s="151">
        <f>SUM(I281:I283)</f>
        <v>225141.42</v>
      </c>
      <c r="J284" s="151">
        <f t="shared" si="108"/>
        <v>0</v>
      </c>
      <c r="K284" s="151">
        <f t="shared" si="108"/>
        <v>237075</v>
      </c>
      <c r="L284" s="362">
        <f t="shared" si="99"/>
        <v>1.1674258278960974</v>
      </c>
      <c r="M284" s="184"/>
      <c r="N284" s="188"/>
      <c r="O284" s="187"/>
      <c r="P284" s="151">
        <f>SUM(P281:P283)</f>
        <v>7000</v>
      </c>
    </row>
    <row r="285" spans="2:16" s="25" customFormat="1" x14ac:dyDescent="0.2">
      <c r="B285" s="539" t="s">
        <v>345</v>
      </c>
      <c r="C285" s="539"/>
      <c r="D285" s="539"/>
      <c r="E285" s="539"/>
      <c r="F285" s="539"/>
      <c r="G285" s="134">
        <f t="shared" ref="G285:K285" si="109">G284</f>
        <v>203075</v>
      </c>
      <c r="H285" s="134">
        <f t="shared" si="109"/>
        <v>227075</v>
      </c>
      <c r="I285" s="134">
        <f t="shared" si="109"/>
        <v>225141.42</v>
      </c>
      <c r="J285" s="134">
        <f t="shared" si="109"/>
        <v>0</v>
      </c>
      <c r="K285" s="134">
        <f t="shared" si="109"/>
        <v>237075</v>
      </c>
      <c r="L285" s="362">
        <f t="shared" si="99"/>
        <v>1.1674258278960974</v>
      </c>
      <c r="M285" s="184"/>
      <c r="N285" s="188"/>
      <c r="O285" s="187"/>
      <c r="P285" s="134">
        <f>P284</f>
        <v>7000</v>
      </c>
    </row>
    <row r="286" spans="2:16" s="25" customFormat="1" x14ac:dyDescent="0.2">
      <c r="B286" s="542" t="s">
        <v>379</v>
      </c>
      <c r="C286" s="543">
        <v>55</v>
      </c>
      <c r="D286" s="543">
        <v>0</v>
      </c>
      <c r="E286" s="17">
        <v>20103001</v>
      </c>
      <c r="F286" s="7" t="s">
        <v>342</v>
      </c>
      <c r="G286" s="355">
        <v>307500</v>
      </c>
      <c r="H286" s="355">
        <v>307500</v>
      </c>
      <c r="I286" s="355">
        <v>288600.266</v>
      </c>
      <c r="J286" s="355">
        <v>0</v>
      </c>
      <c r="K286" s="137">
        <v>292000</v>
      </c>
      <c r="L286" s="362">
        <f t="shared" si="99"/>
        <v>0.94959349593495934</v>
      </c>
      <c r="M286" s="161"/>
      <c r="N286" s="188"/>
      <c r="O286" s="187"/>
      <c r="P286" s="305">
        <v>0</v>
      </c>
    </row>
    <row r="287" spans="2:16" s="25" customFormat="1" x14ac:dyDescent="0.2">
      <c r="B287" s="542"/>
      <c r="C287" s="543"/>
      <c r="D287" s="543"/>
      <c r="E287" s="17">
        <v>23603002</v>
      </c>
      <c r="F287" s="7" t="s">
        <v>68</v>
      </c>
      <c r="G287" s="355">
        <v>75</v>
      </c>
      <c r="H287" s="355">
        <v>75</v>
      </c>
      <c r="I287" s="355">
        <v>75</v>
      </c>
      <c r="J287" s="355">
        <v>0</v>
      </c>
      <c r="K287" s="137">
        <v>75</v>
      </c>
      <c r="L287" s="362">
        <f t="shared" si="99"/>
        <v>1</v>
      </c>
      <c r="M287" s="161"/>
      <c r="N287" s="188"/>
      <c r="O287" s="187"/>
      <c r="P287" s="305">
        <v>75</v>
      </c>
    </row>
    <row r="288" spans="2:16" s="25" customFormat="1" x14ac:dyDescent="0.2">
      <c r="B288" s="542"/>
      <c r="C288" s="543"/>
      <c r="D288" s="543"/>
      <c r="E288" s="538" t="s">
        <v>344</v>
      </c>
      <c r="F288" s="538"/>
      <c r="G288" s="151">
        <f t="shared" ref="G288:K288" si="110">SUM(G286:G287)</f>
        <v>307575</v>
      </c>
      <c r="H288" s="151">
        <f t="shared" si="110"/>
        <v>307575</v>
      </c>
      <c r="I288" s="151">
        <f>SUM(I286:I287)</f>
        <v>288675.266</v>
      </c>
      <c r="J288" s="151">
        <f t="shared" si="110"/>
        <v>0</v>
      </c>
      <c r="K288" s="151">
        <f t="shared" si="110"/>
        <v>292075</v>
      </c>
      <c r="L288" s="362">
        <f t="shared" si="99"/>
        <v>0.94960578720637245</v>
      </c>
      <c r="M288" s="184"/>
      <c r="N288" s="188"/>
      <c r="O288" s="187"/>
      <c r="P288" s="151">
        <f>SUM(P286:P287)</f>
        <v>75</v>
      </c>
    </row>
    <row r="289" spans="2:16" s="25" customFormat="1" x14ac:dyDescent="0.2">
      <c r="B289" s="542"/>
      <c r="C289" s="543"/>
      <c r="D289" s="543"/>
      <c r="E289" s="17">
        <v>25701001</v>
      </c>
      <c r="F289" s="7" t="s">
        <v>476</v>
      </c>
      <c r="G289" s="355">
        <v>17000</v>
      </c>
      <c r="H289" s="355">
        <v>1000</v>
      </c>
      <c r="I289" s="355">
        <v>201</v>
      </c>
      <c r="J289" s="355">
        <v>0</v>
      </c>
      <c r="K289" s="137">
        <v>30000</v>
      </c>
      <c r="L289" s="362">
        <f t="shared" si="99"/>
        <v>1.7647058823529411</v>
      </c>
      <c r="M289" s="161"/>
      <c r="N289" s="188"/>
      <c r="O289" s="187"/>
      <c r="P289" s="305">
        <v>50000</v>
      </c>
    </row>
    <row r="290" spans="2:16" s="25" customFormat="1" x14ac:dyDescent="0.2">
      <c r="B290" s="542"/>
      <c r="C290" s="543"/>
      <c r="D290" s="543"/>
      <c r="E290" s="17">
        <v>25701002</v>
      </c>
      <c r="F290" s="7" t="s">
        <v>105</v>
      </c>
      <c r="G290" s="355">
        <v>4000</v>
      </c>
      <c r="H290" s="355">
        <v>0</v>
      </c>
      <c r="I290" s="355">
        <v>0</v>
      </c>
      <c r="J290" s="355">
        <v>0</v>
      </c>
      <c r="K290" s="137">
        <v>5000</v>
      </c>
      <c r="L290" s="362">
        <f t="shared" si="99"/>
        <v>1.25</v>
      </c>
      <c r="M290" s="161"/>
      <c r="N290" s="188"/>
      <c r="O290" s="187"/>
      <c r="P290" s="305">
        <v>5000</v>
      </c>
    </row>
    <row r="291" spans="2:16" s="25" customFormat="1" x14ac:dyDescent="0.2">
      <c r="B291" s="542"/>
      <c r="C291" s="543"/>
      <c r="D291" s="543"/>
      <c r="E291" s="439" t="s">
        <v>346</v>
      </c>
      <c r="F291" s="439"/>
      <c r="G291" s="144">
        <f t="shared" ref="G291:K291" si="111">SUM(G289:G290)</f>
        <v>21000</v>
      </c>
      <c r="H291" s="144">
        <f t="shared" si="111"/>
        <v>1000</v>
      </c>
      <c r="I291" s="144">
        <f t="shared" si="111"/>
        <v>201</v>
      </c>
      <c r="J291" s="144">
        <f t="shared" si="111"/>
        <v>0</v>
      </c>
      <c r="K291" s="144">
        <f t="shared" si="111"/>
        <v>35000</v>
      </c>
      <c r="L291" s="362">
        <f t="shared" si="99"/>
        <v>1.6666666666666667</v>
      </c>
      <c r="M291" s="184"/>
      <c r="N291" s="188"/>
      <c r="O291" s="187"/>
      <c r="P291" s="144">
        <f>SUM(P289:P290)</f>
        <v>55000</v>
      </c>
    </row>
    <row r="292" spans="2:16" s="25" customFormat="1" x14ac:dyDescent="0.2">
      <c r="B292" s="542"/>
      <c r="C292" s="543"/>
      <c r="D292" s="543"/>
      <c r="E292" s="17">
        <v>26301006</v>
      </c>
      <c r="F292" s="7" t="s">
        <v>5</v>
      </c>
      <c r="G292" s="355">
        <v>4000</v>
      </c>
      <c r="H292" s="355">
        <v>4000</v>
      </c>
      <c r="I292" s="355">
        <v>0</v>
      </c>
      <c r="J292" s="355">
        <v>0</v>
      </c>
      <c r="K292" s="137">
        <v>5000</v>
      </c>
      <c r="L292" s="362">
        <f t="shared" si="99"/>
        <v>1.25</v>
      </c>
      <c r="M292" s="161"/>
      <c r="N292" s="188"/>
      <c r="O292" s="187"/>
      <c r="P292" s="305">
        <v>10000</v>
      </c>
    </row>
    <row r="293" spans="2:16" s="25" customFormat="1" x14ac:dyDescent="0.2">
      <c r="B293" s="542"/>
      <c r="C293" s="543"/>
      <c r="D293" s="543"/>
      <c r="E293" s="459" t="s">
        <v>347</v>
      </c>
      <c r="F293" s="459"/>
      <c r="G293" s="138">
        <f t="shared" ref="G293:K293" si="112">SUM(G292:G292)</f>
        <v>4000</v>
      </c>
      <c r="H293" s="138">
        <f t="shared" si="112"/>
        <v>4000</v>
      </c>
      <c r="I293" s="138">
        <f t="shared" si="112"/>
        <v>0</v>
      </c>
      <c r="J293" s="138">
        <f t="shared" si="112"/>
        <v>0</v>
      </c>
      <c r="K293" s="138">
        <f t="shared" si="112"/>
        <v>5000</v>
      </c>
      <c r="L293" s="362">
        <f t="shared" si="99"/>
        <v>1.25</v>
      </c>
      <c r="M293" s="184"/>
      <c r="N293" s="188"/>
      <c r="O293" s="187"/>
      <c r="P293" s="138">
        <f>SUM(P292:P292)</f>
        <v>10000</v>
      </c>
    </row>
    <row r="294" spans="2:16" s="25" customFormat="1" x14ac:dyDescent="0.2">
      <c r="B294" s="539" t="s">
        <v>345</v>
      </c>
      <c r="C294" s="539"/>
      <c r="D294" s="539"/>
      <c r="E294" s="539"/>
      <c r="F294" s="539"/>
      <c r="G294" s="134">
        <f t="shared" ref="G294:K294" si="113">G288+G291+G293</f>
        <v>332575</v>
      </c>
      <c r="H294" s="134">
        <f t="shared" si="113"/>
        <v>312575</v>
      </c>
      <c r="I294" s="134">
        <f t="shared" si="113"/>
        <v>288876.266</v>
      </c>
      <c r="J294" s="134">
        <f t="shared" si="113"/>
        <v>0</v>
      </c>
      <c r="K294" s="134">
        <f t="shared" si="113"/>
        <v>332075</v>
      </c>
      <c r="L294" s="362">
        <f t="shared" si="99"/>
        <v>0.99849657971886041</v>
      </c>
      <c r="M294" s="184"/>
      <c r="N294" s="188"/>
      <c r="O294" s="187"/>
      <c r="P294" s="134">
        <f>P288+P291+P293</f>
        <v>65075</v>
      </c>
    </row>
    <row r="295" spans="2:16" s="25" customFormat="1" x14ac:dyDescent="0.2">
      <c r="B295" s="542" t="s">
        <v>380</v>
      </c>
      <c r="C295" s="543">
        <v>56</v>
      </c>
      <c r="D295" s="543">
        <v>0</v>
      </c>
      <c r="E295" s="17">
        <v>20103001</v>
      </c>
      <c r="F295" s="7" t="s">
        <v>342</v>
      </c>
      <c r="G295" s="355">
        <v>725000</v>
      </c>
      <c r="H295" s="355">
        <v>691000</v>
      </c>
      <c r="I295" s="355">
        <v>684014.94099999999</v>
      </c>
      <c r="J295" s="355">
        <v>0</v>
      </c>
      <c r="K295" s="137">
        <v>995000</v>
      </c>
      <c r="L295" s="362">
        <f t="shared" si="99"/>
        <v>1.3724137931034484</v>
      </c>
      <c r="M295" s="161"/>
      <c r="N295" s="189" t="s">
        <v>527</v>
      </c>
      <c r="O295" s="187"/>
      <c r="P295" s="305">
        <v>0</v>
      </c>
    </row>
    <row r="296" spans="2:16" s="25" customFormat="1" x14ac:dyDescent="0.2">
      <c r="B296" s="542"/>
      <c r="C296" s="543"/>
      <c r="D296" s="543"/>
      <c r="E296" s="28">
        <v>20117003</v>
      </c>
      <c r="F296" s="10" t="s">
        <v>34</v>
      </c>
      <c r="G296" s="355">
        <v>170000</v>
      </c>
      <c r="H296" s="355">
        <v>170000</v>
      </c>
      <c r="I296" s="355">
        <v>140648</v>
      </c>
      <c r="J296" s="355">
        <v>6227</v>
      </c>
      <c r="K296" s="137">
        <v>150000</v>
      </c>
      <c r="L296" s="362">
        <f t="shared" si="99"/>
        <v>0.88235294117647056</v>
      </c>
      <c r="M296" s="161"/>
      <c r="N296" s="189" t="s">
        <v>527</v>
      </c>
      <c r="O296" s="187"/>
      <c r="P296" s="305">
        <v>170000</v>
      </c>
    </row>
    <row r="297" spans="2:16" s="25" customFormat="1" x14ac:dyDescent="0.2">
      <c r="B297" s="542"/>
      <c r="C297" s="543"/>
      <c r="D297" s="543"/>
      <c r="E297" s="29">
        <v>21604004</v>
      </c>
      <c r="F297" s="12" t="s">
        <v>243</v>
      </c>
      <c r="G297" s="355">
        <v>5000</v>
      </c>
      <c r="H297" s="355">
        <v>5000</v>
      </c>
      <c r="I297" s="355">
        <v>684.02</v>
      </c>
      <c r="J297" s="355">
        <v>1365.98</v>
      </c>
      <c r="K297" s="137">
        <v>5000</v>
      </c>
      <c r="L297" s="362">
        <f t="shared" si="99"/>
        <v>1</v>
      </c>
      <c r="M297" s="161"/>
      <c r="N297" s="188"/>
      <c r="O297" s="187"/>
      <c r="P297" s="305">
        <v>5000</v>
      </c>
    </row>
    <row r="298" spans="2:16" s="25" customFormat="1" x14ac:dyDescent="0.2">
      <c r="B298" s="542"/>
      <c r="C298" s="543"/>
      <c r="D298" s="543"/>
      <c r="E298" s="17">
        <v>21604010</v>
      </c>
      <c r="F298" s="7" t="s">
        <v>40</v>
      </c>
      <c r="G298" s="355">
        <v>1500</v>
      </c>
      <c r="H298" s="355">
        <v>1500</v>
      </c>
      <c r="I298" s="355">
        <v>247.25</v>
      </c>
      <c r="J298" s="355">
        <v>0</v>
      </c>
      <c r="K298" s="137">
        <v>1500</v>
      </c>
      <c r="L298" s="362">
        <f t="shared" si="99"/>
        <v>1</v>
      </c>
      <c r="M298" s="161"/>
      <c r="N298" s="188"/>
      <c r="O298" s="187"/>
      <c r="P298" s="305">
        <v>1500</v>
      </c>
    </row>
    <row r="299" spans="2:16" s="25" customFormat="1" x14ac:dyDescent="0.2">
      <c r="B299" s="542"/>
      <c r="C299" s="543"/>
      <c r="D299" s="543"/>
      <c r="E299" s="17">
        <v>21605001</v>
      </c>
      <c r="F299" s="7" t="s">
        <v>491</v>
      </c>
      <c r="G299" s="355">
        <v>50000</v>
      </c>
      <c r="H299" s="355">
        <v>50000</v>
      </c>
      <c r="I299" s="355">
        <v>9726.81</v>
      </c>
      <c r="J299" s="355">
        <v>7326.49</v>
      </c>
      <c r="K299" s="137">
        <v>50000</v>
      </c>
      <c r="L299" s="362">
        <f t="shared" si="99"/>
        <v>1</v>
      </c>
      <c r="M299" s="161"/>
      <c r="N299" s="188"/>
      <c r="O299" s="187"/>
      <c r="P299" s="305">
        <v>50000</v>
      </c>
    </row>
    <row r="300" spans="2:16" s="25" customFormat="1" x14ac:dyDescent="0.2">
      <c r="B300" s="542"/>
      <c r="C300" s="543"/>
      <c r="D300" s="543"/>
      <c r="E300" s="124">
        <v>21606001</v>
      </c>
      <c r="F300" s="66" t="s">
        <v>41</v>
      </c>
      <c r="G300" s="355">
        <v>5000</v>
      </c>
      <c r="H300" s="355">
        <v>5000</v>
      </c>
      <c r="I300" s="355">
        <v>1800</v>
      </c>
      <c r="J300" s="355">
        <v>0</v>
      </c>
      <c r="K300" s="137"/>
      <c r="L300" s="362">
        <f t="shared" si="99"/>
        <v>0</v>
      </c>
      <c r="M300" s="161"/>
      <c r="N300" s="188"/>
      <c r="O300" s="187"/>
      <c r="P300" s="119">
        <v>5000</v>
      </c>
    </row>
    <row r="301" spans="2:16" s="25" customFormat="1" x14ac:dyDescent="0.2">
      <c r="B301" s="542"/>
      <c r="C301" s="543"/>
      <c r="D301" s="543"/>
      <c r="E301" s="123">
        <v>21609001</v>
      </c>
      <c r="F301" s="60" t="s">
        <v>471</v>
      </c>
      <c r="G301" s="355"/>
      <c r="H301" s="355"/>
      <c r="I301" s="355"/>
      <c r="J301" s="355"/>
      <c r="K301" s="137">
        <v>15000</v>
      </c>
      <c r="L301" s="362" t="str">
        <f t="shared" si="99"/>
        <v/>
      </c>
      <c r="M301" s="161"/>
      <c r="N301" s="189" t="s">
        <v>527</v>
      </c>
      <c r="O301" s="187"/>
      <c r="P301" s="132"/>
    </row>
    <row r="302" spans="2:16" s="25" customFormat="1" x14ac:dyDescent="0.2">
      <c r="B302" s="542"/>
      <c r="C302" s="543"/>
      <c r="D302" s="543"/>
      <c r="E302" s="123">
        <v>21609002</v>
      </c>
      <c r="F302" s="60" t="s">
        <v>493</v>
      </c>
      <c r="G302" s="355"/>
      <c r="H302" s="355"/>
      <c r="I302" s="355"/>
      <c r="J302" s="355"/>
      <c r="K302" s="137">
        <v>25000</v>
      </c>
      <c r="L302" s="362" t="str">
        <f t="shared" si="99"/>
        <v/>
      </c>
      <c r="M302" s="161"/>
      <c r="N302" s="189" t="s">
        <v>527</v>
      </c>
      <c r="O302" s="187"/>
      <c r="P302" s="132"/>
    </row>
    <row r="303" spans="2:16" s="25" customFormat="1" x14ac:dyDescent="0.2">
      <c r="B303" s="542"/>
      <c r="C303" s="543"/>
      <c r="D303" s="543"/>
      <c r="E303" s="29">
        <v>21610001</v>
      </c>
      <c r="F303" s="12" t="s">
        <v>281</v>
      </c>
      <c r="G303" s="355">
        <v>4000</v>
      </c>
      <c r="H303" s="355">
        <v>4000</v>
      </c>
      <c r="I303" s="355">
        <v>0</v>
      </c>
      <c r="J303" s="355">
        <v>0</v>
      </c>
      <c r="K303" s="137">
        <v>4000</v>
      </c>
      <c r="L303" s="362">
        <f t="shared" si="99"/>
        <v>1</v>
      </c>
      <c r="M303" s="161"/>
      <c r="N303" s="188"/>
      <c r="O303" s="187"/>
      <c r="P303" s="305">
        <v>4000</v>
      </c>
    </row>
    <row r="304" spans="2:16" s="25" customFormat="1" x14ac:dyDescent="0.2">
      <c r="B304" s="542"/>
      <c r="C304" s="543"/>
      <c r="D304" s="543"/>
      <c r="E304" s="17">
        <v>23603002</v>
      </c>
      <c r="F304" s="7" t="s">
        <v>68</v>
      </c>
      <c r="G304" s="355">
        <v>75</v>
      </c>
      <c r="H304" s="355">
        <v>75</v>
      </c>
      <c r="I304" s="355">
        <v>0</v>
      </c>
      <c r="J304" s="355">
        <v>0</v>
      </c>
      <c r="K304" s="137">
        <v>75</v>
      </c>
      <c r="L304" s="362">
        <f t="shared" si="99"/>
        <v>1</v>
      </c>
      <c r="M304" s="161"/>
      <c r="N304" s="188"/>
      <c r="O304" s="187"/>
      <c r="P304" s="305">
        <v>100</v>
      </c>
    </row>
    <row r="305" spans="2:17" s="25" customFormat="1" x14ac:dyDescent="0.2">
      <c r="B305" s="542"/>
      <c r="C305" s="543"/>
      <c r="D305" s="543"/>
      <c r="E305" s="17">
        <v>23604001</v>
      </c>
      <c r="F305" s="7" t="s">
        <v>381</v>
      </c>
      <c r="G305" s="355">
        <v>50000</v>
      </c>
      <c r="H305" s="355">
        <v>50000</v>
      </c>
      <c r="I305" s="355">
        <v>20000</v>
      </c>
      <c r="J305" s="355">
        <v>29980</v>
      </c>
      <c r="K305" s="137">
        <v>70000</v>
      </c>
      <c r="L305" s="362">
        <f t="shared" si="99"/>
        <v>1.4</v>
      </c>
      <c r="M305" s="161"/>
      <c r="N305" s="188"/>
      <c r="O305" s="187"/>
      <c r="P305" s="305">
        <v>70000</v>
      </c>
    </row>
    <row r="306" spans="2:17" s="25" customFormat="1" x14ac:dyDescent="0.2">
      <c r="B306" s="542"/>
      <c r="C306" s="543"/>
      <c r="D306" s="543"/>
      <c r="E306" s="28">
        <v>23604003</v>
      </c>
      <c r="F306" s="10" t="s">
        <v>492</v>
      </c>
      <c r="G306" s="355">
        <v>25000</v>
      </c>
      <c r="H306" s="355">
        <v>25000</v>
      </c>
      <c r="I306" s="355">
        <v>6221.45</v>
      </c>
      <c r="J306" s="355">
        <v>3455</v>
      </c>
      <c r="K306" s="137">
        <v>50000</v>
      </c>
      <c r="L306" s="362">
        <f t="shared" si="99"/>
        <v>2</v>
      </c>
      <c r="M306" s="161"/>
      <c r="N306" s="188"/>
      <c r="O306" s="187"/>
      <c r="P306" s="305">
        <v>70000</v>
      </c>
    </row>
    <row r="307" spans="2:17" s="25" customFormat="1" x14ac:dyDescent="0.2">
      <c r="B307" s="542"/>
      <c r="C307" s="543"/>
      <c r="D307" s="543"/>
      <c r="E307" s="538" t="s">
        <v>344</v>
      </c>
      <c r="F307" s="538"/>
      <c r="G307" s="151">
        <f t="shared" ref="G307:K307" si="114">SUM(G295:G306)</f>
        <v>1035575</v>
      </c>
      <c r="H307" s="151">
        <f t="shared" si="114"/>
        <v>1001575</v>
      </c>
      <c r="I307" s="151">
        <f>SUM(I295:I306)</f>
        <v>863342.47100000002</v>
      </c>
      <c r="J307" s="151">
        <f t="shared" si="114"/>
        <v>48354.47</v>
      </c>
      <c r="K307" s="151">
        <f t="shared" si="114"/>
        <v>1365575</v>
      </c>
      <c r="L307" s="362">
        <f t="shared" si="99"/>
        <v>1.3186635444076962</v>
      </c>
      <c r="M307" s="184"/>
      <c r="N307" s="188"/>
      <c r="O307" s="187"/>
      <c r="P307" s="151">
        <f>SUM(P295:P306)</f>
        <v>375600</v>
      </c>
    </row>
    <row r="308" spans="2:17" s="25" customFormat="1" x14ac:dyDescent="0.2">
      <c r="B308" s="542"/>
      <c r="C308" s="543"/>
      <c r="D308" s="543"/>
      <c r="E308" s="17">
        <v>26401017</v>
      </c>
      <c r="F308" s="7" t="s">
        <v>9</v>
      </c>
      <c r="G308" s="355">
        <v>10000</v>
      </c>
      <c r="H308" s="355">
        <v>10000</v>
      </c>
      <c r="I308" s="355">
        <v>0</v>
      </c>
      <c r="J308" s="355">
        <v>0</v>
      </c>
      <c r="K308" s="137">
        <v>50000</v>
      </c>
      <c r="L308" s="362">
        <f t="shared" si="99"/>
        <v>5</v>
      </c>
      <c r="M308" s="161"/>
      <c r="N308" s="188"/>
      <c r="O308" s="187"/>
      <c r="P308" s="305">
        <v>200000</v>
      </c>
      <c r="Q308" s="336"/>
    </row>
    <row r="309" spans="2:17" s="25" customFormat="1" x14ac:dyDescent="0.2">
      <c r="B309" s="542"/>
      <c r="C309" s="543"/>
      <c r="D309" s="543"/>
      <c r="E309" s="121">
        <v>26401018</v>
      </c>
      <c r="F309" s="60" t="s">
        <v>468</v>
      </c>
      <c r="G309" s="355"/>
      <c r="H309" s="355"/>
      <c r="I309" s="355"/>
      <c r="J309" s="355"/>
      <c r="K309" s="137">
        <v>15000</v>
      </c>
      <c r="L309" s="362" t="str">
        <f t="shared" si="99"/>
        <v/>
      </c>
      <c r="M309" s="161"/>
      <c r="N309" s="189" t="s">
        <v>527</v>
      </c>
      <c r="O309" s="187"/>
      <c r="P309" s="132"/>
      <c r="Q309" s="336"/>
    </row>
    <row r="310" spans="2:17" s="25" customFormat="1" x14ac:dyDescent="0.2">
      <c r="B310" s="542"/>
      <c r="C310" s="543"/>
      <c r="D310" s="543"/>
      <c r="E310" s="121">
        <v>26402003</v>
      </c>
      <c r="F310" s="60" t="s">
        <v>494</v>
      </c>
      <c r="G310" s="355"/>
      <c r="H310" s="355"/>
      <c r="I310" s="355"/>
      <c r="J310" s="355"/>
      <c r="K310" s="137">
        <v>15000</v>
      </c>
      <c r="L310" s="362" t="str">
        <f t="shared" si="99"/>
        <v/>
      </c>
      <c r="M310" s="161"/>
      <c r="N310" s="189" t="s">
        <v>527</v>
      </c>
      <c r="O310" s="187"/>
      <c r="P310" s="132"/>
      <c r="Q310" s="336"/>
    </row>
    <row r="311" spans="2:17" s="25" customFormat="1" x14ac:dyDescent="0.2">
      <c r="B311" s="542"/>
      <c r="C311" s="543"/>
      <c r="D311" s="543"/>
      <c r="E311" s="29">
        <v>26402004</v>
      </c>
      <c r="F311" s="6" t="s">
        <v>309</v>
      </c>
      <c r="G311" s="355">
        <v>15000</v>
      </c>
      <c r="H311" s="355">
        <v>15000</v>
      </c>
      <c r="I311" s="355">
        <v>0</v>
      </c>
      <c r="J311" s="355">
        <v>0</v>
      </c>
      <c r="K311" s="137">
        <v>15000</v>
      </c>
      <c r="L311" s="362">
        <f t="shared" si="99"/>
        <v>1</v>
      </c>
      <c r="M311" s="161"/>
      <c r="N311" s="188"/>
      <c r="O311" s="187"/>
      <c r="P311" s="305">
        <v>15000</v>
      </c>
    </row>
    <row r="312" spans="2:17" s="25" customFormat="1" x14ac:dyDescent="0.2">
      <c r="B312" s="542"/>
      <c r="C312" s="543"/>
      <c r="D312" s="543"/>
      <c r="E312" s="121">
        <v>26602001</v>
      </c>
      <c r="F312" s="60" t="s">
        <v>12</v>
      </c>
      <c r="G312" s="355"/>
      <c r="H312" s="355"/>
      <c r="I312" s="355"/>
      <c r="J312" s="355"/>
      <c r="K312" s="137">
        <v>150000</v>
      </c>
      <c r="L312" s="362" t="str">
        <f t="shared" si="99"/>
        <v/>
      </c>
      <c r="M312" s="161"/>
      <c r="N312" s="189" t="s">
        <v>527</v>
      </c>
      <c r="O312" s="187"/>
      <c r="P312" s="132"/>
    </row>
    <row r="313" spans="2:17" s="25" customFormat="1" x14ac:dyDescent="0.2">
      <c r="B313" s="542"/>
      <c r="C313" s="543"/>
      <c r="D313" s="543"/>
      <c r="E313" s="121">
        <v>26602004</v>
      </c>
      <c r="F313" s="60" t="s">
        <v>495</v>
      </c>
      <c r="G313" s="355"/>
      <c r="H313" s="355"/>
      <c r="I313" s="355"/>
      <c r="J313" s="355"/>
      <c r="K313" s="137">
        <v>10000</v>
      </c>
      <c r="L313" s="362" t="str">
        <f t="shared" si="99"/>
        <v/>
      </c>
      <c r="M313" s="161"/>
      <c r="N313" s="189" t="s">
        <v>527</v>
      </c>
      <c r="O313" s="187"/>
      <c r="P313" s="132"/>
    </row>
    <row r="314" spans="2:17" s="25" customFormat="1" x14ac:dyDescent="0.2">
      <c r="B314" s="542"/>
      <c r="C314" s="543"/>
      <c r="D314" s="543"/>
      <c r="E314" s="121">
        <v>26602005</v>
      </c>
      <c r="F314" s="60" t="s">
        <v>496</v>
      </c>
      <c r="G314" s="355"/>
      <c r="H314" s="355"/>
      <c r="I314" s="355"/>
      <c r="J314" s="355"/>
      <c r="K314" s="137">
        <v>10000</v>
      </c>
      <c r="L314" s="362" t="str">
        <f t="shared" si="99"/>
        <v/>
      </c>
      <c r="M314" s="161"/>
      <c r="N314" s="189" t="s">
        <v>527</v>
      </c>
      <c r="O314" s="187"/>
      <c r="P314" s="132"/>
    </row>
    <row r="315" spans="2:17" s="25" customFormat="1" x14ac:dyDescent="0.2">
      <c r="B315" s="542"/>
      <c r="C315" s="543"/>
      <c r="D315" s="543"/>
      <c r="E315" s="121">
        <v>26602006</v>
      </c>
      <c r="F315" s="60" t="s">
        <v>497</v>
      </c>
      <c r="G315" s="355"/>
      <c r="H315" s="355"/>
      <c r="I315" s="355"/>
      <c r="J315" s="355"/>
      <c r="K315" s="137">
        <v>20000</v>
      </c>
      <c r="L315" s="362" t="str">
        <f t="shared" si="99"/>
        <v/>
      </c>
      <c r="M315" s="161"/>
      <c r="N315" s="189" t="s">
        <v>527</v>
      </c>
      <c r="O315" s="187"/>
      <c r="P315" s="132"/>
    </row>
    <row r="316" spans="2:17" s="25" customFormat="1" x14ac:dyDescent="0.2">
      <c r="B316" s="542"/>
      <c r="C316" s="543"/>
      <c r="D316" s="543"/>
      <c r="E316" s="121">
        <v>26602007</v>
      </c>
      <c r="F316" s="60" t="s">
        <v>498</v>
      </c>
      <c r="G316" s="355"/>
      <c r="H316" s="355"/>
      <c r="I316" s="355"/>
      <c r="J316" s="355"/>
      <c r="K316" s="137">
        <v>5000</v>
      </c>
      <c r="L316" s="362" t="str">
        <f t="shared" si="99"/>
        <v/>
      </c>
      <c r="M316" s="161"/>
      <c r="N316" s="189" t="s">
        <v>527</v>
      </c>
      <c r="O316" s="187"/>
      <c r="P316" s="132"/>
    </row>
    <row r="317" spans="2:17" s="25" customFormat="1" x14ac:dyDescent="0.2">
      <c r="B317" s="542"/>
      <c r="C317" s="543"/>
      <c r="D317" s="543"/>
      <c r="E317" s="121"/>
      <c r="F317" s="60" t="s">
        <v>520</v>
      </c>
      <c r="G317" s="355"/>
      <c r="H317" s="355"/>
      <c r="I317" s="355"/>
      <c r="J317" s="355"/>
      <c r="K317" s="137">
        <v>30000</v>
      </c>
      <c r="L317" s="362" t="str">
        <f t="shared" si="99"/>
        <v/>
      </c>
      <c r="M317" s="161"/>
      <c r="N317" s="189" t="s">
        <v>527</v>
      </c>
      <c r="O317" s="187"/>
      <c r="P317" s="132"/>
    </row>
    <row r="318" spans="2:17" s="25" customFormat="1" x14ac:dyDescent="0.2">
      <c r="B318" s="542"/>
      <c r="C318" s="543"/>
      <c r="D318" s="543"/>
      <c r="E318" s="459" t="s">
        <v>347</v>
      </c>
      <c r="F318" s="459"/>
      <c r="G318" s="138">
        <f>SUM(G308:G317)</f>
        <v>25000</v>
      </c>
      <c r="H318" s="138">
        <f t="shared" ref="H318:J318" si="115">SUM(H308:H317)</f>
        <v>25000</v>
      </c>
      <c r="I318" s="138">
        <f t="shared" si="115"/>
        <v>0</v>
      </c>
      <c r="J318" s="138">
        <f t="shared" si="115"/>
        <v>0</v>
      </c>
      <c r="K318" s="138">
        <f>SUM(K308:K317)</f>
        <v>320000</v>
      </c>
      <c r="L318" s="362">
        <f t="shared" si="99"/>
        <v>12.8</v>
      </c>
      <c r="M318" s="184"/>
      <c r="N318" s="188"/>
      <c r="O318" s="187"/>
      <c r="P318" s="138">
        <f>SUM(P308:P317)</f>
        <v>215000</v>
      </c>
    </row>
    <row r="319" spans="2:17" s="25" customFormat="1" x14ac:dyDescent="0.2">
      <c r="B319" s="539" t="s">
        <v>345</v>
      </c>
      <c r="C319" s="539"/>
      <c r="D319" s="539"/>
      <c r="E319" s="539"/>
      <c r="F319" s="539"/>
      <c r="G319" s="134">
        <f t="shared" ref="G319:K319" si="116">G307+G318</f>
        <v>1060575</v>
      </c>
      <c r="H319" s="134">
        <f t="shared" si="116"/>
        <v>1026575</v>
      </c>
      <c r="I319" s="134">
        <f t="shared" si="116"/>
        <v>863342.47100000002</v>
      </c>
      <c r="J319" s="134">
        <f t="shared" si="116"/>
        <v>48354.47</v>
      </c>
      <c r="K319" s="134">
        <f t="shared" si="116"/>
        <v>1685575</v>
      </c>
      <c r="L319" s="362">
        <f t="shared" si="99"/>
        <v>1.5893029724441929</v>
      </c>
      <c r="M319" s="184"/>
      <c r="N319" s="188"/>
      <c r="O319" s="187"/>
      <c r="P319" s="134">
        <f>P307+P318</f>
        <v>590600</v>
      </c>
    </row>
    <row r="320" spans="2:17" s="25" customFormat="1" x14ac:dyDescent="0.2">
      <c r="B320" s="545" t="s">
        <v>580</v>
      </c>
      <c r="C320" s="552">
        <v>56</v>
      </c>
      <c r="D320" s="552">
        <v>1</v>
      </c>
      <c r="E320" s="124">
        <v>20103001</v>
      </c>
      <c r="F320" s="66" t="s">
        <v>342</v>
      </c>
      <c r="G320" s="355">
        <v>310000</v>
      </c>
      <c r="H320" s="355">
        <v>310000</v>
      </c>
      <c r="I320" s="355">
        <v>300559.40899999999</v>
      </c>
      <c r="J320" s="355">
        <v>0</v>
      </c>
      <c r="K320" s="137"/>
      <c r="L320" s="362">
        <f t="shared" si="99"/>
        <v>0</v>
      </c>
      <c r="M320" s="161"/>
      <c r="N320" s="188"/>
      <c r="O320" s="187"/>
      <c r="P320" s="119">
        <v>0</v>
      </c>
    </row>
    <row r="321" spans="2:16" s="25" customFormat="1" x14ac:dyDescent="0.2">
      <c r="B321" s="545"/>
      <c r="C321" s="552"/>
      <c r="D321" s="552"/>
      <c r="E321" s="120">
        <v>20117003</v>
      </c>
      <c r="F321" s="155" t="s">
        <v>34</v>
      </c>
      <c r="G321" s="355">
        <v>15000</v>
      </c>
      <c r="H321" s="355">
        <v>15000</v>
      </c>
      <c r="I321" s="355">
        <v>10846</v>
      </c>
      <c r="J321" s="355">
        <v>1640.83</v>
      </c>
      <c r="K321" s="137"/>
      <c r="L321" s="362">
        <f t="shared" si="99"/>
        <v>0</v>
      </c>
      <c r="M321" s="161"/>
      <c r="N321" s="188"/>
      <c r="O321" s="187"/>
      <c r="P321" s="119">
        <v>30000</v>
      </c>
    </row>
    <row r="322" spans="2:16" s="25" customFormat="1" x14ac:dyDescent="0.2">
      <c r="B322" s="545"/>
      <c r="C322" s="552"/>
      <c r="D322" s="552"/>
      <c r="E322" s="124">
        <v>21609001</v>
      </c>
      <c r="F322" s="66" t="s">
        <v>471</v>
      </c>
      <c r="G322" s="355">
        <v>5000</v>
      </c>
      <c r="H322" s="355">
        <v>5000</v>
      </c>
      <c r="I322" s="355">
        <v>0</v>
      </c>
      <c r="J322" s="355">
        <v>0</v>
      </c>
      <c r="K322" s="137"/>
      <c r="L322" s="362">
        <f t="shared" si="99"/>
        <v>0</v>
      </c>
      <c r="M322" s="161"/>
      <c r="N322" s="188"/>
      <c r="O322" s="187"/>
      <c r="P322" s="119">
        <v>15000</v>
      </c>
    </row>
    <row r="323" spans="2:16" s="25" customFormat="1" x14ac:dyDescent="0.2">
      <c r="B323" s="545"/>
      <c r="C323" s="552"/>
      <c r="D323" s="552"/>
      <c r="E323" s="124">
        <v>21609002</v>
      </c>
      <c r="F323" s="66" t="s">
        <v>493</v>
      </c>
      <c r="G323" s="355">
        <v>15000</v>
      </c>
      <c r="H323" s="355">
        <v>50000</v>
      </c>
      <c r="I323" s="355">
        <v>23808.9</v>
      </c>
      <c r="J323" s="355">
        <v>16376.075000000001</v>
      </c>
      <c r="K323" s="137"/>
      <c r="L323" s="362">
        <f t="shared" si="99"/>
        <v>0</v>
      </c>
      <c r="M323" s="161"/>
      <c r="N323" s="188"/>
      <c r="O323" s="187"/>
      <c r="P323" s="119">
        <v>25000</v>
      </c>
    </row>
    <row r="324" spans="2:16" s="25" customFormat="1" x14ac:dyDescent="0.2">
      <c r="B324" s="545"/>
      <c r="C324" s="552"/>
      <c r="D324" s="552"/>
      <c r="E324" s="124">
        <v>23603002</v>
      </c>
      <c r="F324" s="66" t="s">
        <v>68</v>
      </c>
      <c r="G324" s="355">
        <v>75</v>
      </c>
      <c r="H324" s="355">
        <v>75</v>
      </c>
      <c r="I324" s="355">
        <v>0</v>
      </c>
      <c r="J324" s="355">
        <v>0</v>
      </c>
      <c r="K324" s="137"/>
      <c r="L324" s="362">
        <f t="shared" si="99"/>
        <v>0</v>
      </c>
      <c r="M324" s="161"/>
      <c r="N324" s="188"/>
      <c r="O324" s="187"/>
      <c r="P324" s="119">
        <v>75</v>
      </c>
    </row>
    <row r="325" spans="2:16" s="25" customFormat="1" x14ac:dyDescent="0.2">
      <c r="B325" s="545"/>
      <c r="C325" s="552"/>
      <c r="D325" s="552"/>
      <c r="E325" s="538" t="s">
        <v>344</v>
      </c>
      <c r="F325" s="538"/>
      <c r="G325" s="151">
        <f t="shared" ref="G325:J325" si="117">SUM(G320:G324)</f>
        <v>345075</v>
      </c>
      <c r="H325" s="151">
        <f t="shared" si="117"/>
        <v>380075</v>
      </c>
      <c r="I325" s="151">
        <f>SUM(I320:I324)</f>
        <v>335214.30900000001</v>
      </c>
      <c r="J325" s="151">
        <f t="shared" si="117"/>
        <v>18016.904999999999</v>
      </c>
      <c r="K325" s="151">
        <f>SUM(K320:K324)</f>
        <v>0</v>
      </c>
      <c r="L325" s="362">
        <f t="shared" ref="L325:L388" si="118">IFERROR(K325/G325,"")</f>
        <v>0</v>
      </c>
      <c r="M325" s="184"/>
      <c r="N325" s="188"/>
      <c r="O325" s="187"/>
      <c r="P325" s="151">
        <f>SUM(P320:P324)</f>
        <v>70075</v>
      </c>
    </row>
    <row r="326" spans="2:16" s="25" customFormat="1" x14ac:dyDescent="0.2">
      <c r="B326" s="545"/>
      <c r="C326" s="552"/>
      <c r="D326" s="552"/>
      <c r="E326" s="120">
        <v>26401018</v>
      </c>
      <c r="F326" s="66" t="s">
        <v>468</v>
      </c>
      <c r="G326" s="355">
        <v>15000</v>
      </c>
      <c r="H326" s="355">
        <v>15000</v>
      </c>
      <c r="I326" s="355">
        <v>0</v>
      </c>
      <c r="J326" s="355">
        <v>0</v>
      </c>
      <c r="K326" s="137"/>
      <c r="L326" s="362">
        <f t="shared" si="118"/>
        <v>0</v>
      </c>
      <c r="M326" s="161"/>
      <c r="N326" s="188"/>
      <c r="O326" s="187"/>
      <c r="P326" s="119">
        <v>15000</v>
      </c>
    </row>
    <row r="327" spans="2:16" s="25" customFormat="1" x14ac:dyDescent="0.2">
      <c r="B327" s="545"/>
      <c r="C327" s="552"/>
      <c r="D327" s="552"/>
      <c r="E327" s="120">
        <v>26402003</v>
      </c>
      <c r="F327" s="66" t="s">
        <v>494</v>
      </c>
      <c r="G327" s="355">
        <v>5000</v>
      </c>
      <c r="H327" s="355">
        <v>5000</v>
      </c>
      <c r="I327" s="355">
        <v>1098</v>
      </c>
      <c r="J327" s="355">
        <v>1807</v>
      </c>
      <c r="K327" s="137"/>
      <c r="L327" s="362">
        <f t="shared" si="118"/>
        <v>0</v>
      </c>
      <c r="M327" s="161"/>
      <c r="N327" s="188"/>
      <c r="O327" s="187"/>
      <c r="P327" s="119">
        <v>15000</v>
      </c>
    </row>
    <row r="328" spans="2:16" s="25" customFormat="1" x14ac:dyDescent="0.2">
      <c r="B328" s="545"/>
      <c r="C328" s="552"/>
      <c r="D328" s="552"/>
      <c r="E328" s="120">
        <v>26602001</v>
      </c>
      <c r="F328" s="66" t="s">
        <v>12</v>
      </c>
      <c r="G328" s="355">
        <v>150000</v>
      </c>
      <c r="H328" s="355">
        <v>150000</v>
      </c>
      <c r="I328" s="355">
        <v>0</v>
      </c>
      <c r="J328" s="355">
        <v>0</v>
      </c>
      <c r="K328" s="137"/>
      <c r="L328" s="362">
        <f t="shared" si="118"/>
        <v>0</v>
      </c>
      <c r="M328" s="161"/>
      <c r="N328" s="188"/>
      <c r="O328" s="187"/>
      <c r="P328" s="119">
        <v>150000</v>
      </c>
    </row>
    <row r="329" spans="2:16" s="25" customFormat="1" x14ac:dyDescent="0.2">
      <c r="B329" s="545"/>
      <c r="C329" s="552"/>
      <c r="D329" s="552"/>
      <c r="E329" s="120">
        <v>26602004</v>
      </c>
      <c r="F329" s="66" t="s">
        <v>495</v>
      </c>
      <c r="G329" s="355">
        <v>10000</v>
      </c>
      <c r="H329" s="355">
        <v>10000</v>
      </c>
      <c r="I329" s="355">
        <v>3750</v>
      </c>
      <c r="J329" s="355">
        <v>2650</v>
      </c>
      <c r="K329" s="137"/>
      <c r="L329" s="362">
        <f t="shared" si="118"/>
        <v>0</v>
      </c>
      <c r="M329" s="161"/>
      <c r="N329" s="188"/>
      <c r="O329" s="187"/>
      <c r="P329" s="119">
        <v>15000</v>
      </c>
    </row>
    <row r="330" spans="2:16" s="25" customFormat="1" x14ac:dyDescent="0.2">
      <c r="B330" s="545"/>
      <c r="C330" s="552"/>
      <c r="D330" s="552"/>
      <c r="E330" s="120">
        <v>26602005</v>
      </c>
      <c r="F330" s="66" t="s">
        <v>496</v>
      </c>
      <c r="G330" s="355">
        <v>10000</v>
      </c>
      <c r="H330" s="355">
        <v>10000</v>
      </c>
      <c r="I330" s="355">
        <v>0</v>
      </c>
      <c r="J330" s="355">
        <v>0</v>
      </c>
      <c r="K330" s="137"/>
      <c r="L330" s="362">
        <f t="shared" si="118"/>
        <v>0</v>
      </c>
      <c r="M330" s="161"/>
      <c r="N330" s="188"/>
      <c r="O330" s="187"/>
      <c r="P330" s="119">
        <v>10000</v>
      </c>
    </row>
    <row r="331" spans="2:16" s="25" customFormat="1" x14ac:dyDescent="0.2">
      <c r="B331" s="545"/>
      <c r="C331" s="552"/>
      <c r="D331" s="552"/>
      <c r="E331" s="120">
        <v>26602006</v>
      </c>
      <c r="F331" s="66" t="s">
        <v>497</v>
      </c>
      <c r="G331" s="355">
        <v>20000</v>
      </c>
      <c r="H331" s="355">
        <v>20000</v>
      </c>
      <c r="I331" s="355">
        <v>0</v>
      </c>
      <c r="J331" s="355">
        <v>500</v>
      </c>
      <c r="K331" s="137"/>
      <c r="L331" s="362">
        <f t="shared" si="118"/>
        <v>0</v>
      </c>
      <c r="M331" s="161"/>
      <c r="N331" s="188"/>
      <c r="O331" s="187"/>
      <c r="P331" s="119">
        <v>20000</v>
      </c>
    </row>
    <row r="332" spans="2:16" s="25" customFormat="1" x14ac:dyDescent="0.2">
      <c r="B332" s="545"/>
      <c r="C332" s="552"/>
      <c r="D332" s="552"/>
      <c r="E332" s="120">
        <v>26602007</v>
      </c>
      <c r="F332" s="66" t="s">
        <v>498</v>
      </c>
      <c r="G332" s="355">
        <v>3000</v>
      </c>
      <c r="H332" s="355">
        <v>3000</v>
      </c>
      <c r="I332" s="355">
        <v>0</v>
      </c>
      <c r="J332" s="355">
        <v>0</v>
      </c>
      <c r="K332" s="137"/>
      <c r="L332" s="362">
        <f t="shared" si="118"/>
        <v>0</v>
      </c>
      <c r="M332" s="161"/>
      <c r="N332" s="188"/>
      <c r="O332" s="187"/>
      <c r="P332" s="119">
        <v>5000</v>
      </c>
    </row>
    <row r="333" spans="2:16" s="25" customFormat="1" x14ac:dyDescent="0.2">
      <c r="B333" s="545"/>
      <c r="C333" s="552"/>
      <c r="D333" s="552"/>
      <c r="E333" s="459" t="s">
        <v>347</v>
      </c>
      <c r="F333" s="459"/>
      <c r="G333" s="138">
        <f>SUM(G326:G332)</f>
        <v>213000</v>
      </c>
      <c r="H333" s="138">
        <f t="shared" ref="H333:J333" si="119">SUM(H326:H332)</f>
        <v>213000</v>
      </c>
      <c r="I333" s="138">
        <f t="shared" si="119"/>
        <v>4848</v>
      </c>
      <c r="J333" s="138">
        <f t="shared" si="119"/>
        <v>4957</v>
      </c>
      <c r="K333" s="138">
        <f>SUM(K326:K332)</f>
        <v>0</v>
      </c>
      <c r="L333" s="362">
        <f t="shared" si="118"/>
        <v>0</v>
      </c>
      <c r="M333" s="184"/>
      <c r="N333" s="188"/>
      <c r="O333" s="187"/>
      <c r="P333" s="138">
        <f>SUM(P326:P332)</f>
        <v>230000</v>
      </c>
    </row>
    <row r="334" spans="2:16" s="25" customFormat="1" x14ac:dyDescent="0.2">
      <c r="B334" s="539" t="s">
        <v>345</v>
      </c>
      <c r="C334" s="539"/>
      <c r="D334" s="539"/>
      <c r="E334" s="539"/>
      <c r="F334" s="539"/>
      <c r="G334" s="134">
        <f t="shared" ref="G334:K334" si="120">G325+G333</f>
        <v>558075</v>
      </c>
      <c r="H334" s="134">
        <f t="shared" si="120"/>
        <v>593075</v>
      </c>
      <c r="I334" s="134">
        <f t="shared" si="120"/>
        <v>340062.30900000001</v>
      </c>
      <c r="J334" s="134">
        <f t="shared" si="120"/>
        <v>22973.904999999999</v>
      </c>
      <c r="K334" s="134">
        <f t="shared" si="120"/>
        <v>0</v>
      </c>
      <c r="L334" s="362">
        <f t="shared" si="118"/>
        <v>0</v>
      </c>
      <c r="M334" s="184"/>
      <c r="N334" s="188"/>
      <c r="O334" s="187"/>
      <c r="P334" s="134">
        <f>P325+P333</f>
        <v>300075</v>
      </c>
    </row>
    <row r="335" spans="2:16" s="25" customFormat="1" x14ac:dyDescent="0.2">
      <c r="B335" s="542" t="s">
        <v>382</v>
      </c>
      <c r="C335" s="543">
        <v>57</v>
      </c>
      <c r="D335" s="543">
        <v>0</v>
      </c>
      <c r="E335" s="17">
        <v>20103001</v>
      </c>
      <c r="F335" s="7" t="s">
        <v>342</v>
      </c>
      <c r="G335" s="355">
        <v>510000</v>
      </c>
      <c r="H335" s="355">
        <v>505000</v>
      </c>
      <c r="I335" s="355">
        <v>498897.77100000001</v>
      </c>
      <c r="J335" s="355">
        <v>0</v>
      </c>
      <c r="K335" s="137">
        <v>510000</v>
      </c>
      <c r="L335" s="362">
        <f t="shared" si="118"/>
        <v>1</v>
      </c>
      <c r="M335" s="161"/>
      <c r="N335" s="188"/>
      <c r="O335" s="187"/>
      <c r="P335" s="305">
        <v>0</v>
      </c>
    </row>
    <row r="336" spans="2:16" s="25" customFormat="1" x14ac:dyDescent="0.2">
      <c r="B336" s="542"/>
      <c r="C336" s="543"/>
      <c r="D336" s="543"/>
      <c r="E336" s="28">
        <v>20117003</v>
      </c>
      <c r="F336" s="10" t="s">
        <v>34</v>
      </c>
      <c r="G336" s="355">
        <v>10000</v>
      </c>
      <c r="H336" s="355">
        <v>10000</v>
      </c>
      <c r="I336" s="355">
        <v>99.25</v>
      </c>
      <c r="J336" s="355">
        <v>0</v>
      </c>
      <c r="K336" s="137">
        <v>5000</v>
      </c>
      <c r="L336" s="362">
        <f t="shared" si="118"/>
        <v>0.5</v>
      </c>
      <c r="M336" s="161"/>
      <c r="N336" s="188"/>
      <c r="O336" s="187"/>
      <c r="P336" s="305">
        <v>5000</v>
      </c>
    </row>
    <row r="337" spans="2:16" s="25" customFormat="1" x14ac:dyDescent="0.2">
      <c r="B337" s="542"/>
      <c r="C337" s="543"/>
      <c r="D337" s="543"/>
      <c r="E337" s="17">
        <v>21604001</v>
      </c>
      <c r="F337" s="10" t="s">
        <v>499</v>
      </c>
      <c r="G337" s="355">
        <v>50000</v>
      </c>
      <c r="H337" s="355">
        <v>30000</v>
      </c>
      <c r="I337" s="355">
        <v>10445.18</v>
      </c>
      <c r="J337" s="355">
        <v>772.6</v>
      </c>
      <c r="K337" s="137">
        <v>50000</v>
      </c>
      <c r="L337" s="362">
        <f t="shared" si="118"/>
        <v>1</v>
      </c>
      <c r="M337" s="161"/>
      <c r="N337" s="188"/>
      <c r="O337" s="187"/>
      <c r="P337" s="305">
        <v>50000</v>
      </c>
    </row>
    <row r="338" spans="2:16" s="25" customFormat="1" x14ac:dyDescent="0.2">
      <c r="B338" s="542"/>
      <c r="C338" s="543"/>
      <c r="D338" s="543"/>
      <c r="E338" s="17">
        <v>21604002</v>
      </c>
      <c r="F338" s="10" t="s">
        <v>500</v>
      </c>
      <c r="G338" s="355">
        <v>60000</v>
      </c>
      <c r="H338" s="355">
        <v>45000</v>
      </c>
      <c r="I338" s="355">
        <v>20260.401000000002</v>
      </c>
      <c r="J338" s="355">
        <v>22843.544999999998</v>
      </c>
      <c r="K338" s="137">
        <v>60000</v>
      </c>
      <c r="L338" s="362">
        <f t="shared" si="118"/>
        <v>1</v>
      </c>
      <c r="M338" s="161"/>
      <c r="N338" s="188"/>
      <c r="O338" s="187"/>
      <c r="P338" s="305">
        <v>60000</v>
      </c>
    </row>
    <row r="339" spans="2:16" s="25" customFormat="1" x14ac:dyDescent="0.2">
      <c r="B339" s="542"/>
      <c r="C339" s="543"/>
      <c r="D339" s="543"/>
      <c r="E339" s="123"/>
      <c r="F339" s="59" t="s">
        <v>512</v>
      </c>
      <c r="G339" s="355"/>
      <c r="H339" s="355"/>
      <c r="I339" s="355"/>
      <c r="J339" s="355"/>
      <c r="K339" s="137">
        <v>100000</v>
      </c>
      <c r="L339" s="362" t="str">
        <f t="shared" si="118"/>
        <v/>
      </c>
      <c r="M339" s="161"/>
      <c r="N339" s="188"/>
      <c r="O339" s="187"/>
      <c r="P339" s="306">
        <v>150000</v>
      </c>
    </row>
    <row r="340" spans="2:16" s="25" customFormat="1" x14ac:dyDescent="0.2">
      <c r="B340" s="542"/>
      <c r="C340" s="543"/>
      <c r="D340" s="543"/>
      <c r="E340" s="124">
        <v>21606001</v>
      </c>
      <c r="F340" s="66" t="s">
        <v>41</v>
      </c>
      <c r="G340" s="355">
        <v>1000</v>
      </c>
      <c r="H340" s="355">
        <v>1000</v>
      </c>
      <c r="I340" s="355">
        <v>0</v>
      </c>
      <c r="J340" s="355">
        <v>0</v>
      </c>
      <c r="K340" s="137"/>
      <c r="L340" s="362">
        <f t="shared" si="118"/>
        <v>0</v>
      </c>
      <c r="M340" s="161"/>
      <c r="N340" s="188"/>
      <c r="O340" s="187"/>
      <c r="P340" s="305">
        <v>1000</v>
      </c>
    </row>
    <row r="341" spans="2:16" s="25" customFormat="1" x14ac:dyDescent="0.2">
      <c r="B341" s="542"/>
      <c r="C341" s="543"/>
      <c r="D341" s="543"/>
      <c r="E341" s="17">
        <v>23603002</v>
      </c>
      <c r="F341" s="7" t="s">
        <v>68</v>
      </c>
      <c r="G341" s="355">
        <v>75</v>
      </c>
      <c r="H341" s="355">
        <v>75</v>
      </c>
      <c r="I341" s="355">
        <v>75</v>
      </c>
      <c r="J341" s="355">
        <v>0</v>
      </c>
      <c r="K341" s="137">
        <v>75</v>
      </c>
      <c r="L341" s="362">
        <f t="shared" si="118"/>
        <v>1</v>
      </c>
      <c r="M341" s="161"/>
      <c r="N341" s="188"/>
      <c r="O341" s="187"/>
      <c r="P341" s="305">
        <v>75</v>
      </c>
    </row>
    <row r="342" spans="2:16" s="25" customFormat="1" x14ac:dyDescent="0.2">
      <c r="B342" s="542"/>
      <c r="C342" s="543"/>
      <c r="D342" s="543"/>
      <c r="E342" s="17">
        <v>23604004</v>
      </c>
      <c r="F342" s="7" t="s">
        <v>450</v>
      </c>
      <c r="G342" s="355">
        <v>2000</v>
      </c>
      <c r="H342" s="355">
        <v>2000</v>
      </c>
      <c r="I342" s="355">
        <v>0</v>
      </c>
      <c r="J342" s="355">
        <v>500</v>
      </c>
      <c r="K342" s="137">
        <v>2000</v>
      </c>
      <c r="L342" s="362">
        <f t="shared" si="118"/>
        <v>1</v>
      </c>
      <c r="M342" s="161"/>
      <c r="N342" s="188"/>
      <c r="O342" s="187"/>
      <c r="P342" s="305">
        <v>2000</v>
      </c>
    </row>
    <row r="343" spans="2:16" s="25" customFormat="1" x14ac:dyDescent="0.2">
      <c r="B343" s="542"/>
      <c r="C343" s="543"/>
      <c r="D343" s="543"/>
      <c r="E343" s="538" t="s">
        <v>344</v>
      </c>
      <c r="F343" s="538"/>
      <c r="G343" s="151">
        <f t="shared" ref="G343:K343" si="121">SUM(G335:G342)</f>
        <v>633075</v>
      </c>
      <c r="H343" s="151">
        <f t="shared" si="121"/>
        <v>593075</v>
      </c>
      <c r="I343" s="151">
        <f>SUM(I335:I342)</f>
        <v>529777.60199999996</v>
      </c>
      <c r="J343" s="151">
        <f t="shared" si="121"/>
        <v>24116.144999999997</v>
      </c>
      <c r="K343" s="151">
        <f t="shared" si="121"/>
        <v>727075</v>
      </c>
      <c r="L343" s="362">
        <f t="shared" si="118"/>
        <v>1.1484816175018757</v>
      </c>
      <c r="M343" s="184"/>
      <c r="N343" s="188"/>
      <c r="O343" s="187"/>
      <c r="P343" s="151">
        <f>SUM(P335:P342)</f>
        <v>268075</v>
      </c>
    </row>
    <row r="344" spans="2:16" s="25" customFormat="1" x14ac:dyDescent="0.2">
      <c r="B344" s="542"/>
      <c r="C344" s="543"/>
      <c r="D344" s="543"/>
      <c r="E344" s="29">
        <v>26402001</v>
      </c>
      <c r="F344" s="6" t="s">
        <v>414</v>
      </c>
      <c r="G344" s="355">
        <v>80000</v>
      </c>
      <c r="H344" s="355">
        <v>80000</v>
      </c>
      <c r="I344" s="355">
        <v>0</v>
      </c>
      <c r="J344" s="355">
        <v>0</v>
      </c>
      <c r="K344" s="137">
        <v>10000</v>
      </c>
      <c r="L344" s="362">
        <f t="shared" si="118"/>
        <v>0.125</v>
      </c>
      <c r="M344" s="161"/>
      <c r="N344" s="188"/>
      <c r="O344" s="187"/>
      <c r="P344" s="305">
        <v>10000</v>
      </c>
    </row>
    <row r="345" spans="2:16" s="25" customFormat="1" x14ac:dyDescent="0.2">
      <c r="B345" s="542"/>
      <c r="C345" s="543"/>
      <c r="D345" s="543"/>
      <c r="E345" s="29">
        <v>26404001</v>
      </c>
      <c r="F345" s="6" t="s">
        <v>315</v>
      </c>
      <c r="G345" s="355">
        <v>30000</v>
      </c>
      <c r="H345" s="355">
        <v>30000</v>
      </c>
      <c r="I345" s="355">
        <v>0</v>
      </c>
      <c r="J345" s="355">
        <v>0</v>
      </c>
      <c r="K345" s="137">
        <v>20000</v>
      </c>
      <c r="L345" s="362">
        <f t="shared" si="118"/>
        <v>0.66666666666666663</v>
      </c>
      <c r="M345" s="161"/>
      <c r="N345" s="188"/>
      <c r="O345" s="187"/>
      <c r="P345" s="305">
        <v>20000</v>
      </c>
    </row>
    <row r="346" spans="2:16" s="25" customFormat="1" x14ac:dyDescent="0.2">
      <c r="B346" s="542"/>
      <c r="C346" s="543"/>
      <c r="D346" s="543"/>
      <c r="E346" s="29">
        <v>26501001</v>
      </c>
      <c r="F346" s="6" t="s">
        <v>10</v>
      </c>
      <c r="G346" s="355">
        <v>500000</v>
      </c>
      <c r="H346" s="355">
        <v>500000</v>
      </c>
      <c r="I346" s="355">
        <v>208252.05100000001</v>
      </c>
      <c r="J346" s="355">
        <v>120879.181</v>
      </c>
      <c r="K346" s="137">
        <v>150000</v>
      </c>
      <c r="L346" s="362">
        <f t="shared" si="118"/>
        <v>0.3</v>
      </c>
      <c r="M346" s="161"/>
      <c r="N346" s="188"/>
      <c r="O346" s="187"/>
      <c r="P346" s="305">
        <v>0</v>
      </c>
    </row>
    <row r="347" spans="2:16" s="25" customFormat="1" x14ac:dyDescent="0.2">
      <c r="B347" s="542"/>
      <c r="C347" s="543"/>
      <c r="D347" s="543"/>
      <c r="E347" s="29">
        <v>26501002</v>
      </c>
      <c r="F347" s="6" t="s">
        <v>11</v>
      </c>
      <c r="G347" s="355">
        <v>350000</v>
      </c>
      <c r="H347" s="355">
        <v>350000</v>
      </c>
      <c r="I347" s="355">
        <v>207597.429</v>
      </c>
      <c r="J347" s="355">
        <v>6270.2879999999996</v>
      </c>
      <c r="K347" s="137">
        <v>150000</v>
      </c>
      <c r="L347" s="362">
        <f t="shared" si="118"/>
        <v>0.42857142857142855</v>
      </c>
      <c r="M347" s="161"/>
      <c r="N347" s="188"/>
      <c r="O347" s="187"/>
      <c r="P347" s="305">
        <v>0</v>
      </c>
    </row>
    <row r="348" spans="2:16" s="25" customFormat="1" x14ac:dyDescent="0.2">
      <c r="B348" s="542"/>
      <c r="C348" s="543"/>
      <c r="D348" s="543"/>
      <c r="E348" s="29">
        <v>26505001</v>
      </c>
      <c r="F348" s="6" t="s">
        <v>501</v>
      </c>
      <c r="G348" s="355">
        <v>10000</v>
      </c>
      <c r="H348" s="355">
        <v>10000</v>
      </c>
      <c r="I348" s="355">
        <v>220</v>
      </c>
      <c r="J348" s="355">
        <v>0</v>
      </c>
      <c r="K348" s="137">
        <v>15000</v>
      </c>
      <c r="L348" s="362">
        <f t="shared" si="118"/>
        <v>1.5</v>
      </c>
      <c r="M348" s="161"/>
      <c r="N348" s="188"/>
      <c r="O348" s="187"/>
      <c r="P348" s="305">
        <v>15000</v>
      </c>
    </row>
    <row r="349" spans="2:16" s="25" customFormat="1" x14ac:dyDescent="0.2">
      <c r="B349" s="542"/>
      <c r="C349" s="543"/>
      <c r="D349" s="543"/>
      <c r="E349" s="120">
        <v>26601031</v>
      </c>
      <c r="F349" s="66" t="s">
        <v>14</v>
      </c>
      <c r="G349" s="355">
        <v>10000</v>
      </c>
      <c r="H349" s="355">
        <v>10000</v>
      </c>
      <c r="I349" s="355">
        <v>0</v>
      </c>
      <c r="J349" s="355">
        <v>0</v>
      </c>
      <c r="K349" s="137"/>
      <c r="L349" s="362">
        <f t="shared" si="118"/>
        <v>0</v>
      </c>
      <c r="M349" s="161"/>
      <c r="N349" s="188"/>
      <c r="O349" s="187"/>
      <c r="P349" s="119">
        <v>0</v>
      </c>
    </row>
    <row r="350" spans="2:16" s="25" customFormat="1" x14ac:dyDescent="0.2">
      <c r="B350" s="542"/>
      <c r="C350" s="543"/>
      <c r="D350" s="543"/>
      <c r="E350" s="29">
        <v>26601068</v>
      </c>
      <c r="F350" s="6" t="s">
        <v>456</v>
      </c>
      <c r="G350" s="355">
        <v>50000</v>
      </c>
      <c r="H350" s="355">
        <v>50000</v>
      </c>
      <c r="I350" s="355">
        <v>0</v>
      </c>
      <c r="J350" s="355">
        <v>0</v>
      </c>
      <c r="K350" s="137">
        <v>50000</v>
      </c>
      <c r="L350" s="362">
        <f t="shared" si="118"/>
        <v>1</v>
      </c>
      <c r="M350" s="161"/>
      <c r="N350" s="188"/>
      <c r="O350" s="187"/>
      <c r="P350" s="305">
        <v>200000</v>
      </c>
    </row>
    <row r="351" spans="2:16" s="25" customFormat="1" x14ac:dyDescent="0.2">
      <c r="B351" s="542"/>
      <c r="C351" s="543"/>
      <c r="D351" s="543"/>
      <c r="E351" s="29">
        <v>26603002</v>
      </c>
      <c r="F351" s="6" t="s">
        <v>502</v>
      </c>
      <c r="G351" s="355">
        <v>50000</v>
      </c>
      <c r="H351" s="355">
        <v>50000</v>
      </c>
      <c r="I351" s="355">
        <v>3112.5</v>
      </c>
      <c r="J351" s="355">
        <v>487.5</v>
      </c>
      <c r="K351" s="137">
        <v>40000</v>
      </c>
      <c r="L351" s="362">
        <f t="shared" si="118"/>
        <v>0.8</v>
      </c>
      <c r="M351" s="161"/>
      <c r="N351" s="188"/>
      <c r="O351" s="187"/>
      <c r="P351" s="305">
        <v>50000</v>
      </c>
    </row>
    <row r="352" spans="2:16" s="25" customFormat="1" x14ac:dyDescent="0.2">
      <c r="B352" s="542"/>
      <c r="C352" s="543"/>
      <c r="D352" s="543"/>
      <c r="E352" s="459" t="s">
        <v>347</v>
      </c>
      <c r="F352" s="459"/>
      <c r="G352" s="138">
        <f t="shared" ref="G352:J352" si="122">SUM(G344:G351)</f>
        <v>1080000</v>
      </c>
      <c r="H352" s="138">
        <f t="shared" si="122"/>
        <v>1080000</v>
      </c>
      <c r="I352" s="138">
        <f t="shared" si="122"/>
        <v>419181.98</v>
      </c>
      <c r="J352" s="138">
        <f t="shared" si="122"/>
        <v>127636.969</v>
      </c>
      <c r="K352" s="138">
        <f>SUM(K344:K351)</f>
        <v>435000</v>
      </c>
      <c r="L352" s="362">
        <f t="shared" si="118"/>
        <v>0.40277777777777779</v>
      </c>
      <c r="M352" s="184"/>
      <c r="N352" s="188"/>
      <c r="O352" s="187"/>
      <c r="P352" s="138">
        <f>SUM(P344:P351)</f>
        <v>295000</v>
      </c>
    </row>
    <row r="353" spans="2:16" s="25" customFormat="1" x14ac:dyDescent="0.2">
      <c r="B353" s="539" t="s">
        <v>345</v>
      </c>
      <c r="C353" s="539"/>
      <c r="D353" s="539"/>
      <c r="E353" s="539"/>
      <c r="F353" s="539"/>
      <c r="G353" s="134">
        <f t="shared" ref="G353:K353" si="123">G343+G352</f>
        <v>1713075</v>
      </c>
      <c r="H353" s="134">
        <f t="shared" si="123"/>
        <v>1673075</v>
      </c>
      <c r="I353" s="134">
        <f t="shared" si="123"/>
        <v>948959.58199999994</v>
      </c>
      <c r="J353" s="134">
        <f t="shared" si="123"/>
        <v>151753.114</v>
      </c>
      <c r="K353" s="134">
        <f t="shared" si="123"/>
        <v>1162075</v>
      </c>
      <c r="L353" s="362">
        <f t="shared" si="118"/>
        <v>0.67835617238007673</v>
      </c>
      <c r="M353" s="184"/>
      <c r="N353" s="188"/>
      <c r="O353" s="187"/>
      <c r="P353" s="134">
        <f>P343+P352</f>
        <v>563075</v>
      </c>
    </row>
    <row r="354" spans="2:16" s="25" customFormat="1" x14ac:dyDescent="0.2">
      <c r="B354" s="557" t="s">
        <v>421</v>
      </c>
      <c r="C354" s="556">
        <v>58</v>
      </c>
      <c r="D354" s="556">
        <v>0</v>
      </c>
      <c r="E354" s="17">
        <v>20103001</v>
      </c>
      <c r="F354" s="7" t="s">
        <v>342</v>
      </c>
      <c r="G354" s="355">
        <v>56000</v>
      </c>
      <c r="H354" s="355">
        <v>64000</v>
      </c>
      <c r="I354" s="355">
        <v>62677.803</v>
      </c>
      <c r="J354" s="355">
        <v>0</v>
      </c>
      <c r="K354" s="137">
        <v>65000</v>
      </c>
      <c r="L354" s="362">
        <f t="shared" si="118"/>
        <v>1.1607142857142858</v>
      </c>
      <c r="M354" s="161"/>
      <c r="N354" s="188"/>
      <c r="O354" s="187"/>
      <c r="P354" s="305">
        <v>0</v>
      </c>
    </row>
    <row r="355" spans="2:16" s="25" customFormat="1" x14ac:dyDescent="0.2">
      <c r="B355" s="557"/>
      <c r="C355" s="556"/>
      <c r="D355" s="556"/>
      <c r="E355" s="17">
        <v>23603002</v>
      </c>
      <c r="F355" s="7" t="s">
        <v>68</v>
      </c>
      <c r="G355" s="355">
        <v>75</v>
      </c>
      <c r="H355" s="355">
        <v>75</v>
      </c>
      <c r="I355" s="355">
        <v>75</v>
      </c>
      <c r="J355" s="355">
        <v>0</v>
      </c>
      <c r="K355" s="137">
        <v>75</v>
      </c>
      <c r="L355" s="362">
        <f t="shared" si="118"/>
        <v>1</v>
      </c>
      <c r="M355" s="161"/>
      <c r="N355" s="188"/>
      <c r="O355" s="187"/>
      <c r="P355" s="305">
        <v>0</v>
      </c>
    </row>
    <row r="356" spans="2:16" s="25" customFormat="1" x14ac:dyDescent="0.2">
      <c r="B356" s="557"/>
      <c r="C356" s="556"/>
      <c r="D356" s="556"/>
      <c r="E356" s="123">
        <v>22601002</v>
      </c>
      <c r="F356" s="60" t="s">
        <v>513</v>
      </c>
      <c r="G356" s="355"/>
      <c r="H356" s="355"/>
      <c r="I356" s="355"/>
      <c r="J356" s="355"/>
      <c r="K356" s="137">
        <v>5000</v>
      </c>
      <c r="L356" s="362" t="str">
        <f t="shared" si="118"/>
        <v/>
      </c>
      <c r="M356" s="161"/>
      <c r="N356" s="188"/>
      <c r="O356" s="187"/>
      <c r="P356" s="132">
        <v>10000</v>
      </c>
    </row>
    <row r="357" spans="2:16" s="25" customFormat="1" x14ac:dyDescent="0.2">
      <c r="B357" s="557"/>
      <c r="C357" s="556"/>
      <c r="D357" s="556"/>
      <c r="E357" s="538" t="s">
        <v>344</v>
      </c>
      <c r="F357" s="538"/>
      <c r="G357" s="151">
        <f>SUM(G354:G356)</f>
        <v>56075</v>
      </c>
      <c r="H357" s="151">
        <f t="shared" ref="H357:K357" si="124">SUM(H354:H356)</f>
        <v>64075</v>
      </c>
      <c r="I357" s="151">
        <f>SUM(I354:I356)</f>
        <v>62752.803</v>
      </c>
      <c r="J357" s="151">
        <f t="shared" si="124"/>
        <v>0</v>
      </c>
      <c r="K357" s="151">
        <f t="shared" si="124"/>
        <v>70075</v>
      </c>
      <c r="L357" s="362">
        <f t="shared" si="118"/>
        <v>1.2496656263932233</v>
      </c>
      <c r="M357" s="184"/>
      <c r="N357" s="188"/>
      <c r="O357" s="187"/>
      <c r="P357" s="151">
        <f>SUM(P354:P356)</f>
        <v>10000</v>
      </c>
    </row>
    <row r="358" spans="2:16" s="25" customFormat="1" x14ac:dyDescent="0.2">
      <c r="B358" s="539" t="s">
        <v>345</v>
      </c>
      <c r="C358" s="539"/>
      <c r="D358" s="539"/>
      <c r="E358" s="539"/>
      <c r="F358" s="539"/>
      <c r="G358" s="134">
        <f t="shared" ref="G358:K358" si="125">G357</f>
        <v>56075</v>
      </c>
      <c r="H358" s="134">
        <f t="shared" si="125"/>
        <v>64075</v>
      </c>
      <c r="I358" s="134">
        <f t="shared" si="125"/>
        <v>62752.803</v>
      </c>
      <c r="J358" s="134">
        <f t="shared" si="125"/>
        <v>0</v>
      </c>
      <c r="K358" s="134">
        <f t="shared" si="125"/>
        <v>70075</v>
      </c>
      <c r="L358" s="362">
        <f t="shared" si="118"/>
        <v>1.2496656263932233</v>
      </c>
      <c r="M358" s="184"/>
      <c r="N358" s="188"/>
      <c r="O358" s="187"/>
      <c r="P358" s="134">
        <f>P357</f>
        <v>10000</v>
      </c>
    </row>
    <row r="359" spans="2:16" s="25" customFormat="1" x14ac:dyDescent="0.2">
      <c r="B359" s="542" t="s">
        <v>383</v>
      </c>
      <c r="C359" s="543">
        <v>59</v>
      </c>
      <c r="D359" s="543">
        <v>0</v>
      </c>
      <c r="E359" s="17">
        <v>20101001</v>
      </c>
      <c r="F359" s="7" t="s">
        <v>17</v>
      </c>
      <c r="G359" s="355">
        <v>45000</v>
      </c>
      <c r="H359" s="355">
        <v>45000</v>
      </c>
      <c r="I359" s="355">
        <v>42729.599999999999</v>
      </c>
      <c r="J359" s="355">
        <v>0</v>
      </c>
      <c r="K359" s="137">
        <v>48000</v>
      </c>
      <c r="L359" s="362">
        <f t="shared" si="118"/>
        <v>1.0666666666666667</v>
      </c>
      <c r="M359" s="161"/>
      <c r="N359" s="188"/>
      <c r="O359" s="187"/>
      <c r="P359" s="305">
        <v>0</v>
      </c>
    </row>
    <row r="360" spans="2:16" s="25" customFormat="1" x14ac:dyDescent="0.2">
      <c r="B360" s="542"/>
      <c r="C360" s="543"/>
      <c r="D360" s="543"/>
      <c r="E360" s="17">
        <v>20103001</v>
      </c>
      <c r="F360" s="7" t="s">
        <v>342</v>
      </c>
      <c r="G360" s="355">
        <v>33000</v>
      </c>
      <c r="H360" s="355">
        <v>42560</v>
      </c>
      <c r="I360" s="355">
        <v>42485.906999999999</v>
      </c>
      <c r="J360" s="355">
        <v>0</v>
      </c>
      <c r="K360" s="137">
        <v>48000</v>
      </c>
      <c r="L360" s="362">
        <f t="shared" si="118"/>
        <v>1.4545454545454546</v>
      </c>
      <c r="M360" s="161"/>
      <c r="N360" s="188"/>
      <c r="O360" s="187"/>
      <c r="P360" s="305">
        <v>0</v>
      </c>
    </row>
    <row r="361" spans="2:16" s="25" customFormat="1" x14ac:dyDescent="0.2">
      <c r="B361" s="542"/>
      <c r="C361" s="543"/>
      <c r="D361" s="543"/>
      <c r="E361" s="17">
        <v>23603002</v>
      </c>
      <c r="F361" s="7" t="s">
        <v>68</v>
      </c>
      <c r="G361" s="355">
        <v>75</v>
      </c>
      <c r="H361" s="355">
        <v>75</v>
      </c>
      <c r="I361" s="355">
        <v>0</v>
      </c>
      <c r="J361" s="355">
        <v>0</v>
      </c>
      <c r="K361" s="137">
        <v>75</v>
      </c>
      <c r="L361" s="362">
        <f t="shared" si="118"/>
        <v>1</v>
      </c>
      <c r="M361" s="161"/>
      <c r="N361" s="188"/>
      <c r="O361" s="187"/>
      <c r="P361" s="305">
        <v>0</v>
      </c>
    </row>
    <row r="362" spans="2:16" s="25" customFormat="1" x14ac:dyDescent="0.2">
      <c r="B362" s="542"/>
      <c r="C362" s="543"/>
      <c r="D362" s="543"/>
      <c r="E362" s="538" t="s">
        <v>344</v>
      </c>
      <c r="F362" s="538"/>
      <c r="G362" s="151">
        <f>SUM(G359:G361)</f>
        <v>78075</v>
      </c>
      <c r="H362" s="151">
        <f t="shared" ref="H362:K362" si="126">SUM(H359:H361)</f>
        <v>87635</v>
      </c>
      <c r="I362" s="151">
        <f>SUM(I359:I361)</f>
        <v>85215.506999999998</v>
      </c>
      <c r="J362" s="151">
        <f t="shared" si="126"/>
        <v>0</v>
      </c>
      <c r="K362" s="151">
        <f t="shared" si="126"/>
        <v>96075</v>
      </c>
      <c r="L362" s="362">
        <f t="shared" si="118"/>
        <v>1.2305475504322767</v>
      </c>
      <c r="M362" s="184"/>
      <c r="N362" s="188"/>
      <c r="O362" s="187"/>
      <c r="P362" s="151">
        <f t="shared" ref="P362" si="127">SUM(P359:P361)</f>
        <v>0</v>
      </c>
    </row>
    <row r="363" spans="2:16" s="25" customFormat="1" x14ac:dyDescent="0.2">
      <c r="B363" s="539" t="s">
        <v>345</v>
      </c>
      <c r="C363" s="539"/>
      <c r="D363" s="539"/>
      <c r="E363" s="539"/>
      <c r="F363" s="539"/>
      <c r="G363" s="134">
        <f>SUM(G362)</f>
        <v>78075</v>
      </c>
      <c r="H363" s="134">
        <f t="shared" ref="H363:K363" si="128">SUM(H362)</f>
        <v>87635</v>
      </c>
      <c r="I363" s="134">
        <f t="shared" si="128"/>
        <v>85215.506999999998</v>
      </c>
      <c r="J363" s="134">
        <f t="shared" si="128"/>
        <v>0</v>
      </c>
      <c r="K363" s="134">
        <f t="shared" si="128"/>
        <v>96075</v>
      </c>
      <c r="L363" s="362">
        <f t="shared" si="118"/>
        <v>1.2305475504322767</v>
      </c>
      <c r="M363" s="184"/>
      <c r="N363" s="188"/>
      <c r="O363" s="187"/>
      <c r="P363" s="134">
        <f t="shared" ref="P363" si="129">SUM(P362)</f>
        <v>0</v>
      </c>
    </row>
    <row r="364" spans="2:16" s="25" customFormat="1" x14ac:dyDescent="0.2">
      <c r="B364" s="542" t="s">
        <v>384</v>
      </c>
      <c r="C364" s="543">
        <v>60</v>
      </c>
      <c r="D364" s="543">
        <v>0</v>
      </c>
      <c r="E364" s="17">
        <v>20103001</v>
      </c>
      <c r="F364" s="7" t="s">
        <v>342</v>
      </c>
      <c r="G364" s="355">
        <v>77000</v>
      </c>
      <c r="H364" s="355">
        <v>77000</v>
      </c>
      <c r="I364" s="355">
        <v>68997.092000000004</v>
      </c>
      <c r="J364" s="355">
        <v>0</v>
      </c>
      <c r="K364" s="137">
        <v>75000</v>
      </c>
      <c r="L364" s="362">
        <f t="shared" si="118"/>
        <v>0.97402597402597402</v>
      </c>
      <c r="M364" s="161"/>
      <c r="N364" s="188"/>
      <c r="O364" s="187"/>
      <c r="P364" s="305">
        <v>0</v>
      </c>
    </row>
    <row r="365" spans="2:16" s="25" customFormat="1" x14ac:dyDescent="0.2">
      <c r="B365" s="542"/>
      <c r="C365" s="543"/>
      <c r="D365" s="543"/>
      <c r="E365" s="17">
        <v>23603002</v>
      </c>
      <c r="F365" s="7" t="s">
        <v>68</v>
      </c>
      <c r="G365" s="355">
        <v>500</v>
      </c>
      <c r="H365" s="355">
        <v>500</v>
      </c>
      <c r="I365" s="355">
        <v>200</v>
      </c>
      <c r="J365" s="355">
        <v>0</v>
      </c>
      <c r="K365" s="137">
        <v>500</v>
      </c>
      <c r="L365" s="362">
        <f t="shared" si="118"/>
        <v>1</v>
      </c>
      <c r="M365" s="161"/>
      <c r="N365" s="188"/>
      <c r="O365" s="187"/>
      <c r="P365" s="305">
        <v>700</v>
      </c>
    </row>
    <row r="366" spans="2:16" s="25" customFormat="1" x14ac:dyDescent="0.2">
      <c r="B366" s="542"/>
      <c r="C366" s="543"/>
      <c r="D366" s="543"/>
      <c r="E366" s="538" t="s">
        <v>344</v>
      </c>
      <c r="F366" s="538"/>
      <c r="G366" s="151">
        <f t="shared" ref="G366:K366" si="130">SUM(G364:G365)</f>
        <v>77500</v>
      </c>
      <c r="H366" s="151">
        <f t="shared" si="130"/>
        <v>77500</v>
      </c>
      <c r="I366" s="151">
        <f>SUM(I364:I365)</f>
        <v>69197.092000000004</v>
      </c>
      <c r="J366" s="151">
        <f t="shared" si="130"/>
        <v>0</v>
      </c>
      <c r="K366" s="151">
        <f t="shared" si="130"/>
        <v>75500</v>
      </c>
      <c r="L366" s="362">
        <f t="shared" si="118"/>
        <v>0.97419354838709682</v>
      </c>
      <c r="M366" s="184"/>
      <c r="N366" s="188"/>
      <c r="O366" s="187"/>
      <c r="P366" s="151">
        <f>SUM(P364:P365)</f>
        <v>700</v>
      </c>
    </row>
    <row r="367" spans="2:16" s="25" customFormat="1" x14ac:dyDescent="0.2">
      <c r="B367" s="539" t="s">
        <v>345</v>
      </c>
      <c r="C367" s="539"/>
      <c r="D367" s="539"/>
      <c r="E367" s="539"/>
      <c r="F367" s="539"/>
      <c r="G367" s="134">
        <f t="shared" ref="G367:K367" si="131">G366</f>
        <v>77500</v>
      </c>
      <c r="H367" s="134">
        <f t="shared" si="131"/>
        <v>77500</v>
      </c>
      <c r="I367" s="134">
        <f t="shared" si="131"/>
        <v>69197.092000000004</v>
      </c>
      <c r="J367" s="134">
        <f t="shared" si="131"/>
        <v>0</v>
      </c>
      <c r="K367" s="134">
        <f t="shared" si="131"/>
        <v>75500</v>
      </c>
      <c r="L367" s="362">
        <f t="shared" si="118"/>
        <v>0.97419354838709682</v>
      </c>
      <c r="M367" s="184"/>
      <c r="N367" s="188"/>
      <c r="O367" s="187"/>
      <c r="P367" s="134">
        <f>P366</f>
        <v>700</v>
      </c>
    </row>
    <row r="368" spans="2:16" s="25" customFormat="1" x14ac:dyDescent="0.2">
      <c r="B368" s="542" t="s">
        <v>385</v>
      </c>
      <c r="C368" s="543">
        <v>61</v>
      </c>
      <c r="D368" s="543">
        <v>0</v>
      </c>
      <c r="E368" s="17">
        <v>20103001</v>
      </c>
      <c r="F368" s="7" t="s">
        <v>342</v>
      </c>
      <c r="G368" s="355">
        <v>64000</v>
      </c>
      <c r="H368" s="355">
        <v>66000</v>
      </c>
      <c r="I368" s="355">
        <v>65708.933999999994</v>
      </c>
      <c r="J368" s="355">
        <v>0</v>
      </c>
      <c r="K368" s="137">
        <v>70000</v>
      </c>
      <c r="L368" s="362">
        <f t="shared" si="118"/>
        <v>1.09375</v>
      </c>
      <c r="M368" s="161"/>
      <c r="N368" s="188"/>
      <c r="O368" s="187"/>
      <c r="P368" s="305">
        <v>0</v>
      </c>
    </row>
    <row r="369" spans="2:16" s="25" customFormat="1" x14ac:dyDescent="0.2">
      <c r="B369" s="542"/>
      <c r="C369" s="543"/>
      <c r="D369" s="543"/>
      <c r="E369" s="17">
        <v>23603002</v>
      </c>
      <c r="F369" s="7" t="s">
        <v>68</v>
      </c>
      <c r="G369" s="355">
        <v>75</v>
      </c>
      <c r="H369" s="355">
        <v>75</v>
      </c>
      <c r="I369" s="355">
        <v>72.5</v>
      </c>
      <c r="J369" s="355">
        <v>0</v>
      </c>
      <c r="K369" s="137">
        <v>75</v>
      </c>
      <c r="L369" s="362">
        <f t="shared" si="118"/>
        <v>1</v>
      </c>
      <c r="M369" s="161"/>
      <c r="N369" s="188"/>
      <c r="O369" s="187"/>
      <c r="P369" s="305">
        <v>75</v>
      </c>
    </row>
    <row r="370" spans="2:16" s="25" customFormat="1" x14ac:dyDescent="0.2">
      <c r="B370" s="542"/>
      <c r="C370" s="543"/>
      <c r="D370" s="543"/>
      <c r="E370" s="538" t="s">
        <v>344</v>
      </c>
      <c r="F370" s="538"/>
      <c r="G370" s="151">
        <f>SUM(G368:G369)</f>
        <v>64075</v>
      </c>
      <c r="H370" s="151">
        <f t="shared" ref="H370:J370" si="132">SUM(H368:H369)</f>
        <v>66075</v>
      </c>
      <c r="I370" s="151">
        <f>SUM(I368:I369)</f>
        <v>65781.433999999994</v>
      </c>
      <c r="J370" s="151">
        <f t="shared" si="132"/>
        <v>0</v>
      </c>
      <c r="K370" s="151">
        <f>SUM(K368:K369)</f>
        <v>70075</v>
      </c>
      <c r="L370" s="362">
        <f t="shared" si="118"/>
        <v>1.0936402653140851</v>
      </c>
      <c r="M370" s="184"/>
      <c r="N370" s="188"/>
      <c r="O370" s="187"/>
      <c r="P370" s="151">
        <f t="shared" ref="P370" si="133">SUM(P368:P369)</f>
        <v>75</v>
      </c>
    </row>
    <row r="371" spans="2:16" s="25" customFormat="1" x14ac:dyDescent="0.2">
      <c r="B371" s="539" t="s">
        <v>345</v>
      </c>
      <c r="C371" s="539"/>
      <c r="D371" s="539"/>
      <c r="E371" s="539"/>
      <c r="F371" s="539"/>
      <c r="G371" s="134">
        <f>G370</f>
        <v>64075</v>
      </c>
      <c r="H371" s="134">
        <f t="shared" ref="H371:J371" si="134">H370</f>
        <v>66075</v>
      </c>
      <c r="I371" s="134">
        <f t="shared" si="134"/>
        <v>65781.433999999994</v>
      </c>
      <c r="J371" s="134">
        <f t="shared" si="134"/>
        <v>0</v>
      </c>
      <c r="K371" s="134">
        <f>K370</f>
        <v>70075</v>
      </c>
      <c r="L371" s="362">
        <f t="shared" si="118"/>
        <v>1.0936402653140851</v>
      </c>
      <c r="M371" s="184"/>
      <c r="N371" s="188"/>
      <c r="O371" s="187"/>
      <c r="P371" s="134">
        <f t="shared" ref="P371" si="135">P370</f>
        <v>75</v>
      </c>
    </row>
    <row r="372" spans="2:16" s="25" customFormat="1" x14ac:dyDescent="0.2">
      <c r="B372" s="542" t="s">
        <v>420</v>
      </c>
      <c r="C372" s="543">
        <v>62</v>
      </c>
      <c r="D372" s="543">
        <v>0</v>
      </c>
      <c r="E372" s="17">
        <v>20103001</v>
      </c>
      <c r="F372" s="7" t="s">
        <v>342</v>
      </c>
      <c r="G372" s="355">
        <v>62000</v>
      </c>
      <c r="H372" s="355">
        <v>62000</v>
      </c>
      <c r="I372" s="355">
        <v>49656.951000000001</v>
      </c>
      <c r="J372" s="355">
        <v>0</v>
      </c>
      <c r="K372" s="137">
        <v>55000</v>
      </c>
      <c r="L372" s="362">
        <f t="shared" si="118"/>
        <v>0.88709677419354838</v>
      </c>
      <c r="M372" s="161"/>
      <c r="N372" s="188"/>
      <c r="O372" s="187"/>
      <c r="P372" s="305">
        <v>0</v>
      </c>
    </row>
    <row r="373" spans="2:16" s="25" customFormat="1" x14ac:dyDescent="0.2">
      <c r="B373" s="542"/>
      <c r="C373" s="543"/>
      <c r="D373" s="543"/>
      <c r="E373" s="17">
        <v>22608001</v>
      </c>
      <c r="F373" s="7" t="s">
        <v>56</v>
      </c>
      <c r="G373" s="355">
        <v>90000</v>
      </c>
      <c r="H373" s="355">
        <v>45000</v>
      </c>
      <c r="I373" s="355">
        <v>11700</v>
      </c>
      <c r="J373" s="355">
        <v>0</v>
      </c>
      <c r="K373" s="137">
        <v>90000</v>
      </c>
      <c r="L373" s="362">
        <f t="shared" si="118"/>
        <v>1</v>
      </c>
      <c r="M373" s="161"/>
      <c r="N373" s="188"/>
      <c r="O373" s="187"/>
      <c r="P373" s="305">
        <v>0</v>
      </c>
    </row>
    <row r="374" spans="2:16" s="25" customFormat="1" x14ac:dyDescent="0.2">
      <c r="B374" s="542"/>
      <c r="C374" s="543"/>
      <c r="D374" s="543"/>
      <c r="E374" s="17">
        <v>23603002</v>
      </c>
      <c r="F374" s="7" t="s">
        <v>68</v>
      </c>
      <c r="G374" s="355">
        <v>75</v>
      </c>
      <c r="H374" s="355">
        <v>75</v>
      </c>
      <c r="I374" s="355">
        <v>0</v>
      </c>
      <c r="J374" s="355">
        <v>0</v>
      </c>
      <c r="K374" s="137">
        <v>75</v>
      </c>
      <c r="L374" s="362">
        <f t="shared" si="118"/>
        <v>1</v>
      </c>
      <c r="M374" s="161"/>
      <c r="N374" s="188"/>
      <c r="O374" s="187"/>
      <c r="P374" s="305">
        <v>0</v>
      </c>
    </row>
    <row r="375" spans="2:16" s="25" customFormat="1" x14ac:dyDescent="0.2">
      <c r="B375" s="542"/>
      <c r="C375" s="543"/>
      <c r="D375" s="543"/>
      <c r="E375" s="538" t="s">
        <v>344</v>
      </c>
      <c r="F375" s="538"/>
      <c r="G375" s="151">
        <f t="shared" ref="G375:K375" si="136">SUM(G372:G374)</f>
        <v>152075</v>
      </c>
      <c r="H375" s="151">
        <f t="shared" si="136"/>
        <v>107075</v>
      </c>
      <c r="I375" s="151">
        <f>SUM(I372:I374)</f>
        <v>61356.951000000001</v>
      </c>
      <c r="J375" s="151">
        <f t="shared" si="136"/>
        <v>0</v>
      </c>
      <c r="K375" s="151">
        <f t="shared" si="136"/>
        <v>145075</v>
      </c>
      <c r="L375" s="362">
        <f t="shared" si="118"/>
        <v>0.95397008055235899</v>
      </c>
      <c r="M375" s="184"/>
      <c r="N375" s="188"/>
      <c r="O375" s="187"/>
      <c r="P375" s="151">
        <f>SUM(P372:P374)</f>
        <v>0</v>
      </c>
    </row>
    <row r="376" spans="2:16" s="25" customFormat="1" x14ac:dyDescent="0.2">
      <c r="B376" s="539" t="s">
        <v>345</v>
      </c>
      <c r="C376" s="539"/>
      <c r="D376" s="539"/>
      <c r="E376" s="539"/>
      <c r="F376" s="539"/>
      <c r="G376" s="134">
        <f t="shared" ref="G376:K376" si="137">G375</f>
        <v>152075</v>
      </c>
      <c r="H376" s="134">
        <f t="shared" si="137"/>
        <v>107075</v>
      </c>
      <c r="I376" s="134">
        <f t="shared" si="137"/>
        <v>61356.951000000001</v>
      </c>
      <c r="J376" s="134">
        <f t="shared" si="137"/>
        <v>0</v>
      </c>
      <c r="K376" s="134">
        <f t="shared" si="137"/>
        <v>145075</v>
      </c>
      <c r="L376" s="362">
        <f t="shared" si="118"/>
        <v>0.95397008055235899</v>
      </c>
      <c r="M376" s="184"/>
      <c r="N376" s="188"/>
      <c r="O376" s="187"/>
      <c r="P376" s="134">
        <f>P375</f>
        <v>0</v>
      </c>
    </row>
    <row r="377" spans="2:16" s="25" customFormat="1" x14ac:dyDescent="0.2">
      <c r="B377" s="542" t="s">
        <v>386</v>
      </c>
      <c r="C377" s="543">
        <v>63</v>
      </c>
      <c r="D377" s="543">
        <v>0</v>
      </c>
      <c r="E377" s="17">
        <v>20103001</v>
      </c>
      <c r="F377" s="7" t="s">
        <v>342</v>
      </c>
      <c r="G377" s="355">
        <v>227000</v>
      </c>
      <c r="H377" s="355">
        <v>194250</v>
      </c>
      <c r="I377" s="355">
        <v>193712.20199999999</v>
      </c>
      <c r="J377" s="355">
        <v>0</v>
      </c>
      <c r="K377" s="137">
        <v>200000</v>
      </c>
      <c r="L377" s="362">
        <f t="shared" si="118"/>
        <v>0.88105726872246692</v>
      </c>
      <c r="M377" s="161"/>
      <c r="N377" s="188"/>
      <c r="O377" s="187"/>
      <c r="P377" s="305">
        <v>0</v>
      </c>
    </row>
    <row r="378" spans="2:16" s="25" customFormat="1" x14ac:dyDescent="0.2">
      <c r="B378" s="542"/>
      <c r="C378" s="543"/>
      <c r="D378" s="543"/>
      <c r="E378" s="17">
        <v>20117001</v>
      </c>
      <c r="F378" s="7" t="s">
        <v>387</v>
      </c>
      <c r="G378" s="355">
        <v>400000</v>
      </c>
      <c r="H378" s="355">
        <v>531000</v>
      </c>
      <c r="I378" s="355">
        <v>506682.67300000001</v>
      </c>
      <c r="J378" s="355">
        <v>19608.555</v>
      </c>
      <c r="K378" s="137">
        <v>500000</v>
      </c>
      <c r="L378" s="362">
        <f t="shared" si="118"/>
        <v>1.25</v>
      </c>
      <c r="M378" s="161"/>
      <c r="N378" s="188"/>
      <c r="O378" s="187"/>
      <c r="P378" s="305">
        <v>400000</v>
      </c>
    </row>
    <row r="379" spans="2:16" s="25" customFormat="1" x14ac:dyDescent="0.2">
      <c r="B379" s="542"/>
      <c r="C379" s="543"/>
      <c r="D379" s="543"/>
      <c r="E379" s="124">
        <v>21606001</v>
      </c>
      <c r="F379" s="66" t="s">
        <v>41</v>
      </c>
      <c r="G379" s="355">
        <v>30000</v>
      </c>
      <c r="H379" s="355">
        <v>30000</v>
      </c>
      <c r="I379" s="355">
        <v>0</v>
      </c>
      <c r="J379" s="355">
        <v>1500</v>
      </c>
      <c r="K379" s="137"/>
      <c r="L379" s="362">
        <f t="shared" si="118"/>
        <v>0</v>
      </c>
      <c r="M379" s="161"/>
      <c r="N379" s="188"/>
      <c r="O379" s="187"/>
      <c r="P379" s="119">
        <v>30000</v>
      </c>
    </row>
    <row r="380" spans="2:16" s="25" customFormat="1" x14ac:dyDescent="0.2">
      <c r="B380" s="542"/>
      <c r="C380" s="543"/>
      <c r="D380" s="543"/>
      <c r="E380" s="17">
        <v>23603002</v>
      </c>
      <c r="F380" s="7" t="s">
        <v>68</v>
      </c>
      <c r="G380" s="355">
        <v>75</v>
      </c>
      <c r="H380" s="355">
        <v>75</v>
      </c>
      <c r="I380" s="355">
        <v>70.099999999999994</v>
      </c>
      <c r="J380" s="355">
        <v>0</v>
      </c>
      <c r="K380" s="137">
        <v>75</v>
      </c>
      <c r="L380" s="362">
        <f t="shared" si="118"/>
        <v>1</v>
      </c>
      <c r="M380" s="161"/>
      <c r="N380" s="188"/>
      <c r="O380" s="187"/>
      <c r="P380" s="305">
        <v>75</v>
      </c>
    </row>
    <row r="381" spans="2:16" s="25" customFormat="1" x14ac:dyDescent="0.2">
      <c r="B381" s="542"/>
      <c r="C381" s="543"/>
      <c r="D381" s="543"/>
      <c r="E381" s="538" t="s">
        <v>344</v>
      </c>
      <c r="F381" s="538"/>
      <c r="G381" s="151">
        <f t="shared" ref="G381:K381" si="138">SUM(G377:G380)</f>
        <v>657075</v>
      </c>
      <c r="H381" s="151">
        <f t="shared" si="138"/>
        <v>755325</v>
      </c>
      <c r="I381" s="151">
        <f>SUM(I377:I380)</f>
        <v>700464.97499999998</v>
      </c>
      <c r="J381" s="151">
        <f t="shared" si="138"/>
        <v>21108.555</v>
      </c>
      <c r="K381" s="151">
        <f t="shared" si="138"/>
        <v>700075</v>
      </c>
      <c r="L381" s="362">
        <f t="shared" si="118"/>
        <v>1.0654415401590382</v>
      </c>
      <c r="M381" s="184"/>
      <c r="N381" s="188"/>
      <c r="O381" s="187"/>
      <c r="P381" s="151">
        <f>SUM(P377:P380)</f>
        <v>430075</v>
      </c>
    </row>
    <row r="382" spans="2:16" s="25" customFormat="1" x14ac:dyDescent="0.2">
      <c r="B382" s="542"/>
      <c r="C382" s="543"/>
      <c r="D382" s="543"/>
      <c r="E382" s="29">
        <v>26402006</v>
      </c>
      <c r="F382" s="6" t="s">
        <v>326</v>
      </c>
      <c r="G382" s="355">
        <v>5000</v>
      </c>
      <c r="H382" s="355">
        <v>5000</v>
      </c>
      <c r="I382" s="355">
        <v>0</v>
      </c>
      <c r="J382" s="355">
        <v>0</v>
      </c>
      <c r="K382" s="137">
        <v>10000</v>
      </c>
      <c r="L382" s="362">
        <f t="shared" si="118"/>
        <v>2</v>
      </c>
      <c r="M382" s="161"/>
      <c r="N382" s="188"/>
      <c r="O382" s="187"/>
      <c r="P382" s="305">
        <v>25000</v>
      </c>
    </row>
    <row r="383" spans="2:16" s="25" customFormat="1" x14ac:dyDescent="0.2">
      <c r="B383" s="542"/>
      <c r="C383" s="543"/>
      <c r="D383" s="543"/>
      <c r="E383" s="459" t="s">
        <v>347</v>
      </c>
      <c r="F383" s="459"/>
      <c r="G383" s="138">
        <f t="shared" ref="G383:K383" si="139">SUM(G382:G382)</f>
        <v>5000</v>
      </c>
      <c r="H383" s="138">
        <f t="shared" si="139"/>
        <v>5000</v>
      </c>
      <c r="I383" s="138">
        <f t="shared" si="139"/>
        <v>0</v>
      </c>
      <c r="J383" s="138">
        <f t="shared" si="139"/>
        <v>0</v>
      </c>
      <c r="K383" s="138">
        <f t="shared" si="139"/>
        <v>10000</v>
      </c>
      <c r="L383" s="362">
        <f t="shared" si="118"/>
        <v>2</v>
      </c>
      <c r="M383" s="184"/>
      <c r="N383" s="188"/>
      <c r="O383" s="187"/>
      <c r="P383" s="138">
        <f>SUM(P382:P382)</f>
        <v>25000</v>
      </c>
    </row>
    <row r="384" spans="2:16" s="25" customFormat="1" x14ac:dyDescent="0.2">
      <c r="B384" s="539" t="s">
        <v>345</v>
      </c>
      <c r="C384" s="539"/>
      <c r="D384" s="539"/>
      <c r="E384" s="539"/>
      <c r="F384" s="539"/>
      <c r="G384" s="134">
        <f t="shared" ref="G384:K384" si="140">G381+G383</f>
        <v>662075</v>
      </c>
      <c r="H384" s="134">
        <f t="shared" si="140"/>
        <v>760325</v>
      </c>
      <c r="I384" s="134">
        <f t="shared" si="140"/>
        <v>700464.97499999998</v>
      </c>
      <c r="J384" s="134">
        <f t="shared" si="140"/>
        <v>21108.555</v>
      </c>
      <c r="K384" s="134">
        <f t="shared" si="140"/>
        <v>710075</v>
      </c>
      <c r="L384" s="362">
        <f t="shared" si="118"/>
        <v>1.0724993391987312</v>
      </c>
      <c r="M384" s="184"/>
      <c r="N384" s="188"/>
      <c r="O384" s="187"/>
      <c r="P384" s="134">
        <f>P381+P383</f>
        <v>455075</v>
      </c>
    </row>
    <row r="385" spans="2:16" s="25" customFormat="1" x14ac:dyDescent="0.2">
      <c r="B385" s="542" t="s">
        <v>388</v>
      </c>
      <c r="C385" s="543">
        <v>66</v>
      </c>
      <c r="D385" s="543">
        <v>0</v>
      </c>
      <c r="E385" s="17">
        <v>20103001</v>
      </c>
      <c r="F385" s="7" t="s">
        <v>342</v>
      </c>
      <c r="G385" s="355">
        <v>62000</v>
      </c>
      <c r="H385" s="355">
        <v>62000</v>
      </c>
      <c r="I385" s="355">
        <v>53855.088000000003</v>
      </c>
      <c r="J385" s="355">
        <v>0</v>
      </c>
      <c r="K385" s="137">
        <v>60000</v>
      </c>
      <c r="L385" s="362">
        <f t="shared" si="118"/>
        <v>0.967741935483871</v>
      </c>
      <c r="M385" s="161"/>
      <c r="N385" s="188"/>
      <c r="O385" s="187"/>
      <c r="P385" s="305">
        <v>0</v>
      </c>
    </row>
    <row r="386" spans="2:16" s="25" customFormat="1" x14ac:dyDescent="0.2">
      <c r="B386" s="542"/>
      <c r="C386" s="543"/>
      <c r="D386" s="543"/>
      <c r="E386" s="538" t="s">
        <v>344</v>
      </c>
      <c r="F386" s="538"/>
      <c r="G386" s="151">
        <f t="shared" ref="G386:K386" si="141">SUM(G385:G385)</f>
        <v>62000</v>
      </c>
      <c r="H386" s="151">
        <f t="shared" si="141"/>
        <v>62000</v>
      </c>
      <c r="I386" s="151">
        <f>SUM(I385:I385)</f>
        <v>53855.088000000003</v>
      </c>
      <c r="J386" s="151">
        <f t="shared" si="141"/>
        <v>0</v>
      </c>
      <c r="K386" s="151">
        <f t="shared" si="141"/>
        <v>60000</v>
      </c>
      <c r="L386" s="362">
        <f t="shared" si="118"/>
        <v>0.967741935483871</v>
      </c>
      <c r="M386" s="184"/>
      <c r="N386" s="188"/>
      <c r="O386" s="187"/>
      <c r="P386" s="151">
        <f>SUM(P385:P385)</f>
        <v>0</v>
      </c>
    </row>
    <row r="387" spans="2:16" s="25" customFormat="1" x14ac:dyDescent="0.2">
      <c r="B387" s="539" t="s">
        <v>345</v>
      </c>
      <c r="C387" s="539"/>
      <c r="D387" s="539"/>
      <c r="E387" s="539"/>
      <c r="F387" s="539"/>
      <c r="G387" s="134">
        <f t="shared" ref="G387:K387" si="142">G386</f>
        <v>62000</v>
      </c>
      <c r="H387" s="134">
        <f t="shared" si="142"/>
        <v>62000</v>
      </c>
      <c r="I387" s="134">
        <f t="shared" si="142"/>
        <v>53855.088000000003</v>
      </c>
      <c r="J387" s="134">
        <f t="shared" si="142"/>
        <v>0</v>
      </c>
      <c r="K387" s="134">
        <f t="shared" si="142"/>
        <v>60000</v>
      </c>
      <c r="L387" s="362">
        <f t="shared" si="118"/>
        <v>0.967741935483871</v>
      </c>
      <c r="M387" s="184"/>
      <c r="N387" s="188"/>
      <c r="O387" s="187"/>
      <c r="P387" s="134">
        <f>P386</f>
        <v>0</v>
      </c>
    </row>
    <row r="388" spans="2:16" s="25" customFormat="1" x14ac:dyDescent="0.2">
      <c r="B388" s="542" t="s">
        <v>389</v>
      </c>
      <c r="C388" s="543">
        <v>68</v>
      </c>
      <c r="D388" s="543">
        <v>0</v>
      </c>
      <c r="E388" s="17">
        <v>20103001</v>
      </c>
      <c r="F388" s="7" t="s">
        <v>342</v>
      </c>
      <c r="G388" s="355">
        <v>187500</v>
      </c>
      <c r="H388" s="355">
        <v>187500</v>
      </c>
      <c r="I388" s="355">
        <v>183499.72700000001</v>
      </c>
      <c r="J388" s="355">
        <v>0</v>
      </c>
      <c r="K388" s="137">
        <v>188000</v>
      </c>
      <c r="L388" s="362">
        <f t="shared" si="118"/>
        <v>1.0026666666666666</v>
      </c>
      <c r="M388" s="161"/>
      <c r="N388" s="188"/>
      <c r="O388" s="187"/>
      <c r="P388" s="305">
        <v>0</v>
      </c>
    </row>
    <row r="389" spans="2:16" s="25" customFormat="1" x14ac:dyDescent="0.2">
      <c r="B389" s="542"/>
      <c r="C389" s="543"/>
      <c r="D389" s="543"/>
      <c r="E389" s="124">
        <v>21606001</v>
      </c>
      <c r="F389" s="66" t="s">
        <v>41</v>
      </c>
      <c r="G389" s="355">
        <v>2000</v>
      </c>
      <c r="H389" s="355">
        <v>2000</v>
      </c>
      <c r="I389" s="355">
        <v>0</v>
      </c>
      <c r="J389" s="355">
        <v>0</v>
      </c>
      <c r="K389" s="137"/>
      <c r="L389" s="362">
        <f t="shared" ref="L389:L452" si="143">IFERROR(K389/G389,"")</f>
        <v>0</v>
      </c>
      <c r="M389" s="161"/>
      <c r="N389" s="188"/>
      <c r="O389" s="187"/>
      <c r="P389" s="119">
        <v>2000</v>
      </c>
    </row>
    <row r="390" spans="2:16" s="25" customFormat="1" x14ac:dyDescent="0.2">
      <c r="B390" s="542"/>
      <c r="C390" s="543"/>
      <c r="D390" s="543"/>
      <c r="E390" s="17">
        <v>23603002</v>
      </c>
      <c r="F390" s="7" t="s">
        <v>68</v>
      </c>
      <c r="G390" s="355">
        <v>75</v>
      </c>
      <c r="H390" s="355">
        <v>75</v>
      </c>
      <c r="I390" s="355">
        <v>0</v>
      </c>
      <c r="J390" s="355">
        <v>0</v>
      </c>
      <c r="K390" s="137">
        <v>75</v>
      </c>
      <c r="L390" s="362">
        <f t="shared" si="143"/>
        <v>1</v>
      </c>
      <c r="M390" s="161"/>
      <c r="N390" s="188"/>
      <c r="O390" s="187"/>
      <c r="P390" s="305">
        <v>75</v>
      </c>
    </row>
    <row r="391" spans="2:16" s="25" customFormat="1" x14ac:dyDescent="0.2">
      <c r="B391" s="542"/>
      <c r="C391" s="543"/>
      <c r="D391" s="543"/>
      <c r="E391" s="538" t="s">
        <v>344</v>
      </c>
      <c r="F391" s="538"/>
      <c r="G391" s="151">
        <f t="shared" ref="G391:K391" si="144">SUM(G388:G390)</f>
        <v>189575</v>
      </c>
      <c r="H391" s="151">
        <f t="shared" si="144"/>
        <v>189575</v>
      </c>
      <c r="I391" s="151">
        <f>SUM(I388:I390)</f>
        <v>183499.72700000001</v>
      </c>
      <c r="J391" s="151">
        <f t="shared" si="144"/>
        <v>0</v>
      </c>
      <c r="K391" s="151">
        <f t="shared" si="144"/>
        <v>188075</v>
      </c>
      <c r="L391" s="362">
        <f t="shared" si="143"/>
        <v>0.99208756428854017</v>
      </c>
      <c r="M391" s="184"/>
      <c r="N391" s="188"/>
      <c r="O391" s="187"/>
      <c r="P391" s="151">
        <f>SUM(P388:P390)</f>
        <v>2075</v>
      </c>
    </row>
    <row r="392" spans="2:16" s="25" customFormat="1" x14ac:dyDescent="0.2">
      <c r="B392" s="542"/>
      <c r="C392" s="543"/>
      <c r="D392" s="543"/>
      <c r="E392" s="29">
        <v>26402002</v>
      </c>
      <c r="F392" s="6" t="s">
        <v>415</v>
      </c>
      <c r="G392" s="355">
        <v>15000</v>
      </c>
      <c r="H392" s="355">
        <v>15000</v>
      </c>
      <c r="I392" s="355">
        <v>0</v>
      </c>
      <c r="J392" s="355">
        <v>0</v>
      </c>
      <c r="K392" s="137">
        <v>20000</v>
      </c>
      <c r="L392" s="362">
        <f t="shared" si="143"/>
        <v>1.3333333333333333</v>
      </c>
      <c r="M392" s="161"/>
      <c r="N392" s="188"/>
      <c r="O392" s="187"/>
      <c r="P392" s="305">
        <v>20000</v>
      </c>
    </row>
    <row r="393" spans="2:16" s="25" customFormat="1" x14ac:dyDescent="0.2">
      <c r="B393" s="542"/>
      <c r="C393" s="543"/>
      <c r="D393" s="543"/>
      <c r="E393" s="29">
        <v>26404002</v>
      </c>
      <c r="F393" s="6" t="s">
        <v>316</v>
      </c>
      <c r="G393" s="355">
        <v>25000</v>
      </c>
      <c r="H393" s="355">
        <v>25000</v>
      </c>
      <c r="I393" s="355">
        <v>3451.2339999999999</v>
      </c>
      <c r="J393" s="355">
        <v>2793.7660000000001</v>
      </c>
      <c r="K393" s="137">
        <v>30000</v>
      </c>
      <c r="L393" s="362">
        <f t="shared" si="143"/>
        <v>1.2</v>
      </c>
      <c r="M393" s="161"/>
      <c r="N393" s="188"/>
      <c r="O393" s="187"/>
      <c r="P393" s="305">
        <v>30000</v>
      </c>
    </row>
    <row r="394" spans="2:16" s="25" customFormat="1" x14ac:dyDescent="0.2">
      <c r="B394" s="542"/>
      <c r="C394" s="543"/>
      <c r="D394" s="543"/>
      <c r="E394" s="459" t="s">
        <v>347</v>
      </c>
      <c r="F394" s="459"/>
      <c r="G394" s="138">
        <f t="shared" ref="G394:J394" si="145">SUM(G392:G393)</f>
        <v>40000</v>
      </c>
      <c r="H394" s="138">
        <f t="shared" si="145"/>
        <v>40000</v>
      </c>
      <c r="I394" s="138">
        <f t="shared" si="145"/>
        <v>3451.2339999999999</v>
      </c>
      <c r="J394" s="138">
        <f t="shared" si="145"/>
        <v>2793.7660000000001</v>
      </c>
      <c r="K394" s="138">
        <f>SUM(K392:K393)</f>
        <v>50000</v>
      </c>
      <c r="L394" s="362">
        <f t="shared" si="143"/>
        <v>1.25</v>
      </c>
      <c r="M394" s="184"/>
      <c r="N394" s="188"/>
      <c r="O394" s="187"/>
      <c r="P394" s="138">
        <f>SUM(P392:P393)</f>
        <v>50000</v>
      </c>
    </row>
    <row r="395" spans="2:16" s="25" customFormat="1" x14ac:dyDescent="0.2">
      <c r="B395" s="539" t="s">
        <v>345</v>
      </c>
      <c r="C395" s="539"/>
      <c r="D395" s="539"/>
      <c r="E395" s="539"/>
      <c r="F395" s="539"/>
      <c r="G395" s="134">
        <f t="shared" ref="G395:K395" si="146">G391+G394</f>
        <v>229575</v>
      </c>
      <c r="H395" s="134">
        <f t="shared" si="146"/>
        <v>229575</v>
      </c>
      <c r="I395" s="134">
        <f t="shared" si="146"/>
        <v>186950.96100000001</v>
      </c>
      <c r="J395" s="134">
        <f t="shared" si="146"/>
        <v>2793.7660000000001</v>
      </c>
      <c r="K395" s="134">
        <f t="shared" si="146"/>
        <v>238075</v>
      </c>
      <c r="L395" s="362">
        <f t="shared" si="143"/>
        <v>1.037024937384297</v>
      </c>
      <c r="M395" s="184"/>
      <c r="N395" s="188"/>
      <c r="O395" s="187"/>
      <c r="P395" s="134">
        <f>P391+P394</f>
        <v>52075</v>
      </c>
    </row>
    <row r="396" spans="2:16" s="25" customFormat="1" x14ac:dyDescent="0.2">
      <c r="B396" s="522" t="s">
        <v>390</v>
      </c>
      <c r="C396" s="561">
        <v>91</v>
      </c>
      <c r="D396" s="561">
        <v>1</v>
      </c>
      <c r="E396" s="17">
        <v>20101002</v>
      </c>
      <c r="F396" s="7" t="s">
        <v>391</v>
      </c>
      <c r="G396" s="355">
        <v>1750000</v>
      </c>
      <c r="H396" s="355">
        <v>1650000</v>
      </c>
      <c r="I396" s="355">
        <v>1381191.62</v>
      </c>
      <c r="J396" s="355">
        <v>0</v>
      </c>
      <c r="K396" s="137">
        <v>1400000</v>
      </c>
      <c r="L396" s="362">
        <f t="shared" si="143"/>
        <v>0.8</v>
      </c>
      <c r="M396" s="161"/>
      <c r="N396" s="188"/>
      <c r="O396" s="187"/>
      <c r="P396" s="305">
        <v>1750000</v>
      </c>
    </row>
    <row r="397" spans="2:16" s="25" customFormat="1" x14ac:dyDescent="0.2">
      <c r="B397" s="522"/>
      <c r="C397" s="561"/>
      <c r="D397" s="561"/>
      <c r="E397" s="17">
        <v>20101003</v>
      </c>
      <c r="F397" s="7" t="s">
        <v>19</v>
      </c>
      <c r="G397" s="355">
        <v>75000</v>
      </c>
      <c r="H397" s="355">
        <v>110000</v>
      </c>
      <c r="I397" s="355">
        <v>87451.373000000007</v>
      </c>
      <c r="J397" s="355">
        <v>0</v>
      </c>
      <c r="K397" s="137">
        <v>75000</v>
      </c>
      <c r="L397" s="362">
        <f t="shared" si="143"/>
        <v>1</v>
      </c>
      <c r="M397" s="161"/>
      <c r="N397" s="188"/>
      <c r="O397" s="187"/>
      <c r="P397" s="305">
        <v>75000</v>
      </c>
    </row>
    <row r="398" spans="2:16" s="25" customFormat="1" x14ac:dyDescent="0.2">
      <c r="B398" s="522"/>
      <c r="C398" s="561"/>
      <c r="D398" s="561"/>
      <c r="E398" s="17">
        <v>20101005</v>
      </c>
      <c r="F398" s="7" t="s">
        <v>392</v>
      </c>
      <c r="G398" s="355">
        <v>3000</v>
      </c>
      <c r="H398" s="355">
        <v>3000</v>
      </c>
      <c r="I398" s="355">
        <v>3000</v>
      </c>
      <c r="J398" s="355">
        <v>0</v>
      </c>
      <c r="K398" s="137">
        <v>3000</v>
      </c>
      <c r="L398" s="362">
        <f t="shared" si="143"/>
        <v>1</v>
      </c>
      <c r="M398" s="161"/>
      <c r="N398" s="188"/>
      <c r="O398" s="187"/>
      <c r="P398" s="305">
        <v>3000</v>
      </c>
    </row>
    <row r="399" spans="2:16" s="25" customFormat="1" x14ac:dyDescent="0.2">
      <c r="B399" s="522"/>
      <c r="C399" s="561"/>
      <c r="D399" s="561"/>
      <c r="E399" s="17">
        <v>20101008</v>
      </c>
      <c r="F399" s="7" t="s">
        <v>393</v>
      </c>
      <c r="G399" s="355">
        <v>250000</v>
      </c>
      <c r="H399" s="355">
        <v>270000</v>
      </c>
      <c r="I399" s="355">
        <v>261337.2</v>
      </c>
      <c r="J399" s="355">
        <v>0</v>
      </c>
      <c r="K399" s="137">
        <v>150000</v>
      </c>
      <c r="L399" s="362">
        <f t="shared" si="143"/>
        <v>0.6</v>
      </c>
      <c r="M399" s="161"/>
      <c r="N399" s="188"/>
      <c r="O399" s="187"/>
      <c r="P399" s="305">
        <v>250000</v>
      </c>
    </row>
    <row r="400" spans="2:16" s="25" customFormat="1" x14ac:dyDescent="0.2">
      <c r="B400" s="522"/>
      <c r="C400" s="561"/>
      <c r="D400" s="561"/>
      <c r="E400" s="17">
        <v>20101009</v>
      </c>
      <c r="F400" s="65" t="s">
        <v>507</v>
      </c>
      <c r="G400" s="355">
        <v>25000</v>
      </c>
      <c r="H400" s="355">
        <v>25000</v>
      </c>
      <c r="I400" s="355">
        <v>22170</v>
      </c>
      <c r="J400" s="355">
        <v>0</v>
      </c>
      <c r="K400" s="137">
        <v>25000</v>
      </c>
      <c r="L400" s="362">
        <f t="shared" si="143"/>
        <v>1</v>
      </c>
      <c r="M400" s="161"/>
      <c r="N400" s="188"/>
      <c r="O400" s="187"/>
      <c r="P400" s="305">
        <v>25000</v>
      </c>
    </row>
    <row r="401" spans="2:16" s="25" customFormat="1" x14ac:dyDescent="0.2">
      <c r="B401" s="522"/>
      <c r="C401" s="561"/>
      <c r="D401" s="561"/>
      <c r="E401" s="17">
        <v>20103002</v>
      </c>
      <c r="F401" s="7" t="s">
        <v>394</v>
      </c>
      <c r="G401" s="355">
        <v>70000</v>
      </c>
      <c r="H401" s="355">
        <v>60000</v>
      </c>
      <c r="I401" s="355">
        <v>23908.9</v>
      </c>
      <c r="J401" s="355">
        <v>0</v>
      </c>
      <c r="K401" s="137">
        <v>60000</v>
      </c>
      <c r="L401" s="362">
        <f t="shared" si="143"/>
        <v>0.8571428571428571</v>
      </c>
      <c r="M401" s="161"/>
      <c r="N401" s="188"/>
      <c r="O401" s="187"/>
      <c r="P401" s="305">
        <v>70000</v>
      </c>
    </row>
    <row r="402" spans="2:16" s="25" customFormat="1" x14ac:dyDescent="0.2">
      <c r="B402" s="522"/>
      <c r="C402" s="561"/>
      <c r="D402" s="561"/>
      <c r="E402" s="17">
        <v>20103003</v>
      </c>
      <c r="F402" s="7" t="s">
        <v>395</v>
      </c>
      <c r="G402" s="355">
        <v>25000</v>
      </c>
      <c r="H402" s="355">
        <v>50000</v>
      </c>
      <c r="I402" s="355">
        <v>48043.571000000004</v>
      </c>
      <c r="J402" s="355">
        <v>0</v>
      </c>
      <c r="K402" s="137">
        <v>70000</v>
      </c>
      <c r="L402" s="362">
        <f t="shared" si="143"/>
        <v>2.8</v>
      </c>
      <c r="M402" s="161"/>
      <c r="N402" s="188"/>
      <c r="O402" s="187"/>
      <c r="P402" s="305">
        <v>70000</v>
      </c>
    </row>
    <row r="403" spans="2:16" s="25" customFormat="1" x14ac:dyDescent="0.2">
      <c r="B403" s="522"/>
      <c r="C403" s="561"/>
      <c r="D403" s="561"/>
      <c r="E403" s="17">
        <v>20117002</v>
      </c>
      <c r="F403" s="7" t="s">
        <v>33</v>
      </c>
      <c r="G403" s="355">
        <v>10000</v>
      </c>
      <c r="H403" s="355">
        <v>10000</v>
      </c>
      <c r="I403" s="355">
        <v>10000</v>
      </c>
      <c r="J403" s="355">
        <v>0</v>
      </c>
      <c r="K403" s="137">
        <v>10000</v>
      </c>
      <c r="L403" s="362">
        <f t="shared" si="143"/>
        <v>1</v>
      </c>
      <c r="M403" s="161"/>
      <c r="N403" s="188"/>
      <c r="O403" s="187"/>
      <c r="P403" s="305">
        <v>10000</v>
      </c>
    </row>
    <row r="404" spans="2:16" s="25" customFormat="1" x14ac:dyDescent="0.2">
      <c r="B404" s="522"/>
      <c r="C404" s="561"/>
      <c r="D404" s="561"/>
      <c r="E404" s="538" t="s">
        <v>344</v>
      </c>
      <c r="F404" s="538"/>
      <c r="G404" s="151">
        <f t="shared" ref="G404:K404" si="147">SUM(G396:G403)</f>
        <v>2208000</v>
      </c>
      <c r="H404" s="151">
        <f t="shared" si="147"/>
        <v>2178000</v>
      </c>
      <c r="I404" s="151">
        <f>SUM(I396:I403)</f>
        <v>1837102.6639999999</v>
      </c>
      <c r="J404" s="151">
        <f t="shared" si="147"/>
        <v>0</v>
      </c>
      <c r="K404" s="151">
        <f t="shared" si="147"/>
        <v>1793000</v>
      </c>
      <c r="L404" s="362">
        <f t="shared" si="143"/>
        <v>0.81204710144927539</v>
      </c>
      <c r="M404" s="184"/>
      <c r="N404" s="188"/>
      <c r="O404" s="187"/>
      <c r="P404" s="151">
        <f>SUM(P396:P403)</f>
        <v>2253000</v>
      </c>
    </row>
    <row r="405" spans="2:16" s="25" customFormat="1" x14ac:dyDescent="0.2">
      <c r="B405" s="522"/>
      <c r="C405" s="561"/>
      <c r="D405" s="561"/>
      <c r="E405" s="17">
        <v>25101007</v>
      </c>
      <c r="F405" s="7" t="s">
        <v>93</v>
      </c>
      <c r="G405" s="355">
        <v>400000</v>
      </c>
      <c r="H405" s="355">
        <v>533000</v>
      </c>
      <c r="I405" s="355">
        <v>532589.48400000005</v>
      </c>
      <c r="J405" s="355">
        <v>0</v>
      </c>
      <c r="K405" s="137">
        <v>300000</v>
      </c>
      <c r="L405" s="362">
        <f t="shared" si="143"/>
        <v>0.75</v>
      </c>
      <c r="M405" s="161"/>
      <c r="N405" s="188"/>
      <c r="O405" s="187"/>
      <c r="P405" s="305">
        <v>400000</v>
      </c>
    </row>
    <row r="406" spans="2:16" s="25" customFormat="1" x14ac:dyDescent="0.2">
      <c r="B406" s="522"/>
      <c r="C406" s="561"/>
      <c r="D406" s="561"/>
      <c r="E406" s="17">
        <v>25101008</v>
      </c>
      <c r="F406" s="7" t="s">
        <v>94</v>
      </c>
      <c r="G406" s="355">
        <v>150000</v>
      </c>
      <c r="H406" s="355">
        <v>225000</v>
      </c>
      <c r="I406" s="355">
        <v>191658</v>
      </c>
      <c r="J406" s="355">
        <v>0</v>
      </c>
      <c r="K406" s="137">
        <v>150000</v>
      </c>
      <c r="L406" s="362">
        <f t="shared" si="143"/>
        <v>1</v>
      </c>
      <c r="M406" s="161"/>
      <c r="N406" s="188"/>
      <c r="O406" s="187"/>
      <c r="P406" s="305">
        <v>150000</v>
      </c>
    </row>
    <row r="407" spans="2:16" s="25" customFormat="1" x14ac:dyDescent="0.2">
      <c r="B407" s="522"/>
      <c r="C407" s="561"/>
      <c r="D407" s="561"/>
      <c r="E407" s="17">
        <v>25101009</v>
      </c>
      <c r="F407" s="7" t="s">
        <v>449</v>
      </c>
      <c r="G407" s="355">
        <v>180000</v>
      </c>
      <c r="H407" s="355">
        <v>205000</v>
      </c>
      <c r="I407" s="355">
        <v>203192</v>
      </c>
      <c r="J407" s="355">
        <v>0</v>
      </c>
      <c r="K407" s="137">
        <v>180000</v>
      </c>
      <c r="L407" s="362">
        <f t="shared" si="143"/>
        <v>1</v>
      </c>
      <c r="M407" s="161"/>
      <c r="N407" s="188"/>
      <c r="O407" s="187"/>
      <c r="P407" s="305">
        <v>180000</v>
      </c>
    </row>
    <row r="408" spans="2:16" s="25" customFormat="1" x14ac:dyDescent="0.2">
      <c r="B408" s="522"/>
      <c r="C408" s="561"/>
      <c r="D408" s="561"/>
      <c r="E408" s="439" t="s">
        <v>346</v>
      </c>
      <c r="F408" s="439"/>
      <c r="G408" s="144">
        <f>SUM(G405:G407)</f>
        <v>730000</v>
      </c>
      <c r="H408" s="144">
        <f t="shared" ref="H408:J408" si="148">SUM(H405:H407)</f>
        <v>963000</v>
      </c>
      <c r="I408" s="144">
        <f t="shared" si="148"/>
        <v>927439.48400000005</v>
      </c>
      <c r="J408" s="144">
        <f t="shared" si="148"/>
        <v>0</v>
      </c>
      <c r="K408" s="144">
        <f>SUM(K405:K407)</f>
        <v>630000</v>
      </c>
      <c r="L408" s="362">
        <f t="shared" si="143"/>
        <v>0.86301369863013699</v>
      </c>
      <c r="M408" s="184"/>
      <c r="N408" s="188"/>
      <c r="O408" s="187"/>
      <c r="P408" s="144">
        <f>SUM(P405:P407)</f>
        <v>730000</v>
      </c>
    </row>
    <row r="409" spans="2:16" s="25" customFormat="1" x14ac:dyDescent="0.2">
      <c r="B409" s="539" t="s">
        <v>345</v>
      </c>
      <c r="C409" s="539"/>
      <c r="D409" s="539"/>
      <c r="E409" s="539"/>
      <c r="F409" s="539"/>
      <c r="G409" s="134">
        <f t="shared" ref="G409:K409" si="149">G404+G408</f>
        <v>2938000</v>
      </c>
      <c r="H409" s="134">
        <f t="shared" si="149"/>
        <v>3141000</v>
      </c>
      <c r="I409" s="134">
        <f t="shared" si="149"/>
        <v>2764542.148</v>
      </c>
      <c r="J409" s="134">
        <f t="shared" si="149"/>
        <v>0</v>
      </c>
      <c r="K409" s="134">
        <f t="shared" si="149"/>
        <v>2423000</v>
      </c>
      <c r="L409" s="362">
        <f t="shared" si="143"/>
        <v>0.82471068754254595</v>
      </c>
      <c r="M409" s="184"/>
      <c r="N409" s="188"/>
      <c r="O409" s="187"/>
      <c r="P409" s="134">
        <f>P404+P408</f>
        <v>2983000</v>
      </c>
    </row>
    <row r="410" spans="2:16" s="25" customFormat="1" x14ac:dyDescent="0.2">
      <c r="B410" s="522" t="s">
        <v>396</v>
      </c>
      <c r="C410" s="561">
        <v>91</v>
      </c>
      <c r="D410" s="561">
        <v>2</v>
      </c>
      <c r="E410" s="17">
        <v>20101007</v>
      </c>
      <c r="F410" s="7" t="s">
        <v>397</v>
      </c>
      <c r="G410" s="355">
        <v>350000</v>
      </c>
      <c r="H410" s="355">
        <v>163000</v>
      </c>
      <c r="I410" s="355">
        <v>92850.403000000006</v>
      </c>
      <c r="J410" s="355">
        <v>0</v>
      </c>
      <c r="K410" s="137">
        <v>400000</v>
      </c>
      <c r="L410" s="362">
        <f t="shared" si="143"/>
        <v>1.1428571428571428</v>
      </c>
      <c r="M410" s="161"/>
      <c r="N410" s="188"/>
      <c r="O410" s="187"/>
      <c r="P410" s="305">
        <v>400000</v>
      </c>
    </row>
    <row r="411" spans="2:16" s="25" customFormat="1" x14ac:dyDescent="0.2">
      <c r="B411" s="522"/>
      <c r="C411" s="561"/>
      <c r="D411" s="561"/>
      <c r="E411" s="17">
        <v>20103006</v>
      </c>
      <c r="F411" s="7" t="s">
        <v>27</v>
      </c>
      <c r="G411" s="355">
        <v>50000</v>
      </c>
      <c r="H411" s="355">
        <v>19000</v>
      </c>
      <c r="I411" s="355">
        <v>0</v>
      </c>
      <c r="J411" s="355">
        <v>0</v>
      </c>
      <c r="K411" s="137">
        <v>42606</v>
      </c>
      <c r="L411" s="362">
        <f t="shared" si="143"/>
        <v>0.85211999999999999</v>
      </c>
      <c r="M411" s="161"/>
      <c r="N411" s="188"/>
      <c r="O411" s="187"/>
      <c r="P411" s="305">
        <v>50000</v>
      </c>
    </row>
    <row r="412" spans="2:16" s="25" customFormat="1" x14ac:dyDescent="0.2">
      <c r="B412" s="522"/>
      <c r="C412" s="561"/>
      <c r="D412" s="561"/>
      <c r="E412" s="17">
        <v>20116002</v>
      </c>
      <c r="F412" s="7" t="s">
        <v>28</v>
      </c>
      <c r="G412" s="355">
        <v>2415885</v>
      </c>
      <c r="H412" s="355">
        <v>2415885</v>
      </c>
      <c r="I412" s="355">
        <v>2415885</v>
      </c>
      <c r="J412" s="355">
        <v>0</v>
      </c>
      <c r="K412" s="137">
        <v>2406265</v>
      </c>
      <c r="L412" s="362">
        <f t="shared" si="143"/>
        <v>0.99601802238103221</v>
      </c>
      <c r="M412" s="161"/>
      <c r="N412" s="189" t="s">
        <v>565</v>
      </c>
      <c r="O412" s="187"/>
      <c r="P412" s="305">
        <v>2222725</v>
      </c>
    </row>
    <row r="413" spans="2:16" s="25" customFormat="1" x14ac:dyDescent="0.2">
      <c r="B413" s="522"/>
      <c r="C413" s="561"/>
      <c r="D413" s="561"/>
      <c r="E413" s="17">
        <v>20116003</v>
      </c>
      <c r="F413" s="7" t="s">
        <v>29</v>
      </c>
      <c r="G413" s="355">
        <v>1628059</v>
      </c>
      <c r="H413" s="355">
        <v>1628059</v>
      </c>
      <c r="I413" s="355">
        <v>1628059</v>
      </c>
      <c r="J413" s="355">
        <v>0</v>
      </c>
      <c r="K413" s="137">
        <v>1557474</v>
      </c>
      <c r="L413" s="362">
        <f t="shared" si="143"/>
        <v>0.95664469162358368</v>
      </c>
      <c r="M413" s="161"/>
      <c r="N413" s="189" t="s">
        <v>565</v>
      </c>
      <c r="O413" s="187"/>
      <c r="P413" s="305">
        <v>1488983</v>
      </c>
    </row>
    <row r="414" spans="2:16" s="25" customFormat="1" x14ac:dyDescent="0.2">
      <c r="B414" s="522"/>
      <c r="C414" s="561"/>
      <c r="D414" s="561"/>
      <c r="E414" s="17">
        <v>20116005</v>
      </c>
      <c r="F414" s="7" t="s">
        <v>30</v>
      </c>
      <c r="G414" s="355">
        <v>285849</v>
      </c>
      <c r="H414" s="355">
        <v>285849</v>
      </c>
      <c r="I414" s="355">
        <v>285849</v>
      </c>
      <c r="J414" s="355">
        <v>0</v>
      </c>
      <c r="K414" s="137">
        <v>135358</v>
      </c>
      <c r="L414" s="362">
        <f t="shared" si="143"/>
        <v>0.47352973073195986</v>
      </c>
      <c r="M414" s="161"/>
      <c r="N414" s="189" t="s">
        <v>565</v>
      </c>
      <c r="O414" s="187"/>
      <c r="P414" s="305">
        <v>266533</v>
      </c>
    </row>
    <row r="415" spans="2:16" s="25" customFormat="1" x14ac:dyDescent="0.2">
      <c r="B415" s="522"/>
      <c r="C415" s="561"/>
      <c r="D415" s="561"/>
      <c r="E415" s="17">
        <v>20116006</v>
      </c>
      <c r="F415" s="7" t="s">
        <v>31</v>
      </c>
      <c r="G415" s="355">
        <v>57170</v>
      </c>
      <c r="H415" s="355">
        <v>57170</v>
      </c>
      <c r="I415" s="355">
        <v>57170</v>
      </c>
      <c r="J415" s="355">
        <v>0</v>
      </c>
      <c r="K415" s="137">
        <v>27072</v>
      </c>
      <c r="L415" s="362">
        <f t="shared" si="143"/>
        <v>0.47353507084135038</v>
      </c>
      <c r="M415" s="161"/>
      <c r="N415" s="189" t="s">
        <v>565</v>
      </c>
      <c r="O415" s="187"/>
      <c r="P415" s="305">
        <v>53307</v>
      </c>
    </row>
    <row r="416" spans="2:16" s="25" customFormat="1" x14ac:dyDescent="0.2">
      <c r="B416" s="522"/>
      <c r="C416" s="561"/>
      <c r="D416" s="561"/>
      <c r="E416" s="538" t="s">
        <v>344</v>
      </c>
      <c r="F416" s="538"/>
      <c r="G416" s="151">
        <f t="shared" ref="G416:J416" si="150">SUM(G410:G415)</f>
        <v>4786963</v>
      </c>
      <c r="H416" s="151">
        <f>SUM(H410:H415)</f>
        <v>4568963</v>
      </c>
      <c r="I416" s="151">
        <f>SUM(I410:I415)</f>
        <v>4479813.4029999999</v>
      </c>
      <c r="J416" s="151">
        <f t="shared" si="150"/>
        <v>0</v>
      </c>
      <c r="K416" s="151">
        <f>SUM(K410:K415)</f>
        <v>4568775</v>
      </c>
      <c r="L416" s="362">
        <f t="shared" si="143"/>
        <v>0.95442037049377648</v>
      </c>
      <c r="M416" s="184"/>
      <c r="N416" s="335"/>
      <c r="O416" s="187"/>
      <c r="P416" s="151">
        <f>SUM(P410:P415)</f>
        <v>4481548</v>
      </c>
    </row>
    <row r="417" spans="2:16" s="25" customFormat="1" x14ac:dyDescent="0.2">
      <c r="B417" s="539" t="s">
        <v>345</v>
      </c>
      <c r="C417" s="539"/>
      <c r="D417" s="539"/>
      <c r="E417" s="539"/>
      <c r="F417" s="539"/>
      <c r="G417" s="134">
        <f t="shared" ref="G417:K417" si="151">G416</f>
        <v>4786963</v>
      </c>
      <c r="H417" s="134">
        <f t="shared" si="151"/>
        <v>4568963</v>
      </c>
      <c r="I417" s="134">
        <f t="shared" si="151"/>
        <v>4479813.4029999999</v>
      </c>
      <c r="J417" s="134">
        <f t="shared" si="151"/>
        <v>0</v>
      </c>
      <c r="K417" s="134">
        <f t="shared" si="151"/>
        <v>4568775</v>
      </c>
      <c r="L417" s="362">
        <f t="shared" si="143"/>
        <v>0.95442037049377648</v>
      </c>
      <c r="M417" s="184"/>
      <c r="N417" s="188"/>
      <c r="O417" s="187"/>
      <c r="P417" s="134">
        <f>P416</f>
        <v>4481548</v>
      </c>
    </row>
    <row r="418" spans="2:16" s="25" customFormat="1" x14ac:dyDescent="0.2">
      <c r="B418" s="522" t="s">
        <v>398</v>
      </c>
      <c r="C418" s="561">
        <v>91</v>
      </c>
      <c r="D418" s="561">
        <v>3</v>
      </c>
      <c r="E418" s="17">
        <v>21101001</v>
      </c>
      <c r="F418" s="7" t="s">
        <v>399</v>
      </c>
      <c r="G418" s="355">
        <v>300000</v>
      </c>
      <c r="H418" s="355">
        <v>307000</v>
      </c>
      <c r="I418" s="355">
        <v>306687.57</v>
      </c>
      <c r="J418" s="355">
        <v>0</v>
      </c>
      <c r="K418" s="137">
        <v>320000</v>
      </c>
      <c r="L418" s="362">
        <f t="shared" si="143"/>
        <v>1.0666666666666667</v>
      </c>
      <c r="M418" s="161"/>
      <c r="N418" s="188"/>
      <c r="O418" s="187"/>
      <c r="P418" s="305">
        <v>300000</v>
      </c>
    </row>
    <row r="419" spans="2:16" s="25" customFormat="1" x14ac:dyDescent="0.2">
      <c r="B419" s="522"/>
      <c r="C419" s="561"/>
      <c r="D419" s="561"/>
      <c r="E419" s="17">
        <v>21102001</v>
      </c>
      <c r="F419" s="7" t="s">
        <v>400</v>
      </c>
      <c r="G419" s="355">
        <v>1800000</v>
      </c>
      <c r="H419" s="355">
        <v>1810000</v>
      </c>
      <c r="I419" s="355">
        <v>1809832.409</v>
      </c>
      <c r="J419" s="355">
        <v>0</v>
      </c>
      <c r="K419" s="137">
        <v>1900000</v>
      </c>
      <c r="L419" s="362">
        <f t="shared" si="143"/>
        <v>1.0555555555555556</v>
      </c>
      <c r="M419" s="161"/>
      <c r="N419" s="188"/>
      <c r="O419" s="187"/>
      <c r="P419" s="305">
        <v>1800000</v>
      </c>
    </row>
    <row r="420" spans="2:16" s="25" customFormat="1" x14ac:dyDescent="0.2">
      <c r="B420" s="522"/>
      <c r="C420" s="561"/>
      <c r="D420" s="561"/>
      <c r="E420" s="17">
        <v>21103001</v>
      </c>
      <c r="F420" s="7" t="s">
        <v>37</v>
      </c>
      <c r="G420" s="355">
        <v>900000</v>
      </c>
      <c r="H420" s="355">
        <v>1250000</v>
      </c>
      <c r="I420" s="355">
        <v>1237449.4110000001</v>
      </c>
      <c r="J420" s="355">
        <v>0</v>
      </c>
      <c r="K420" s="137">
        <v>1200000</v>
      </c>
      <c r="L420" s="362">
        <f t="shared" si="143"/>
        <v>1.3333333333333333</v>
      </c>
      <c r="M420" s="161"/>
      <c r="N420" s="188"/>
      <c r="O420" s="190"/>
      <c r="P420" s="305">
        <v>1000000</v>
      </c>
    </row>
    <row r="421" spans="2:16" s="25" customFormat="1" x14ac:dyDescent="0.2">
      <c r="B421" s="522"/>
      <c r="C421" s="561"/>
      <c r="D421" s="561"/>
      <c r="E421" s="17">
        <v>21104001</v>
      </c>
      <c r="F421" s="7" t="s">
        <v>38</v>
      </c>
      <c r="G421" s="355">
        <v>30000</v>
      </c>
      <c r="H421" s="355">
        <v>30000</v>
      </c>
      <c r="I421" s="355">
        <v>0</v>
      </c>
      <c r="J421" s="355">
        <v>30000</v>
      </c>
      <c r="K421" s="137">
        <v>30000</v>
      </c>
      <c r="L421" s="362">
        <f t="shared" si="143"/>
        <v>1</v>
      </c>
      <c r="M421" s="161"/>
      <c r="N421" s="188"/>
      <c r="O421" s="187"/>
      <c r="P421" s="305">
        <v>30000</v>
      </c>
    </row>
    <row r="422" spans="2:16" s="25" customFormat="1" x14ac:dyDescent="0.2">
      <c r="B422" s="522"/>
      <c r="C422" s="561"/>
      <c r="D422" s="561"/>
      <c r="E422" s="17">
        <v>21105001</v>
      </c>
      <c r="F422" s="7" t="s">
        <v>39</v>
      </c>
      <c r="G422" s="355">
        <v>1500000</v>
      </c>
      <c r="H422" s="355">
        <v>1522000</v>
      </c>
      <c r="I422" s="355">
        <v>1521497.9469999999</v>
      </c>
      <c r="J422" s="355">
        <v>0</v>
      </c>
      <c r="K422" s="137">
        <v>1000000</v>
      </c>
      <c r="L422" s="362">
        <f t="shared" si="143"/>
        <v>0.66666666666666663</v>
      </c>
      <c r="M422" s="161"/>
      <c r="N422" s="188"/>
      <c r="O422" s="187"/>
      <c r="P422" s="305">
        <v>1500000</v>
      </c>
    </row>
    <row r="423" spans="2:16" s="25" customFormat="1" x14ac:dyDescent="0.2">
      <c r="B423" s="522"/>
      <c r="C423" s="561"/>
      <c r="D423" s="561"/>
      <c r="E423" s="538" t="s">
        <v>344</v>
      </c>
      <c r="F423" s="538"/>
      <c r="G423" s="151">
        <f t="shared" ref="G423:K423" si="152">SUM(G418:G422)</f>
        <v>4530000</v>
      </c>
      <c r="H423" s="151">
        <f t="shared" si="152"/>
        <v>4919000</v>
      </c>
      <c r="I423" s="151">
        <f>SUM(I418:I422)</f>
        <v>4875467.3369999994</v>
      </c>
      <c r="J423" s="151">
        <f t="shared" si="152"/>
        <v>30000</v>
      </c>
      <c r="K423" s="151">
        <f t="shared" si="152"/>
        <v>4450000</v>
      </c>
      <c r="L423" s="362">
        <f t="shared" si="143"/>
        <v>0.98233995584988965</v>
      </c>
      <c r="M423" s="184"/>
      <c r="N423" s="188"/>
      <c r="O423" s="187"/>
      <c r="P423" s="151">
        <f>SUM(P418:P422)</f>
        <v>4630000</v>
      </c>
    </row>
    <row r="424" spans="2:16" s="25" customFormat="1" x14ac:dyDescent="0.2">
      <c r="B424" s="539" t="s">
        <v>345</v>
      </c>
      <c r="C424" s="539"/>
      <c r="D424" s="539"/>
      <c r="E424" s="539"/>
      <c r="F424" s="539"/>
      <c r="G424" s="134">
        <f t="shared" ref="G424:K424" si="153">G423</f>
        <v>4530000</v>
      </c>
      <c r="H424" s="134">
        <f t="shared" si="153"/>
        <v>4919000</v>
      </c>
      <c r="I424" s="134">
        <f t="shared" si="153"/>
        <v>4875467.3369999994</v>
      </c>
      <c r="J424" s="134">
        <f t="shared" si="153"/>
        <v>30000</v>
      </c>
      <c r="K424" s="134">
        <f t="shared" si="153"/>
        <v>4450000</v>
      </c>
      <c r="L424" s="362">
        <f t="shared" si="143"/>
        <v>0.98233995584988965</v>
      </c>
      <c r="M424" s="184"/>
      <c r="N424" s="188"/>
      <c r="O424" s="187"/>
      <c r="P424" s="134">
        <f>P423</f>
        <v>4630000</v>
      </c>
    </row>
    <row r="425" spans="2:16" s="25" customFormat="1" x14ac:dyDescent="0.2">
      <c r="B425" s="522" t="s">
        <v>401</v>
      </c>
      <c r="C425" s="561">
        <v>91</v>
      </c>
      <c r="D425" s="561">
        <v>5</v>
      </c>
      <c r="E425" s="17">
        <v>23601001</v>
      </c>
      <c r="F425" s="7" t="s">
        <v>57</v>
      </c>
      <c r="G425" s="355">
        <v>350000</v>
      </c>
      <c r="H425" s="355">
        <v>350000</v>
      </c>
      <c r="I425" s="355">
        <v>276111.33799999999</v>
      </c>
      <c r="J425" s="355">
        <v>0</v>
      </c>
      <c r="K425" s="137">
        <v>200000</v>
      </c>
      <c r="L425" s="362">
        <f t="shared" si="143"/>
        <v>0.5714285714285714</v>
      </c>
      <c r="M425" s="161"/>
      <c r="N425" s="188"/>
      <c r="O425" s="187"/>
      <c r="P425" s="305">
        <v>300000</v>
      </c>
    </row>
    <row r="426" spans="2:16" s="25" customFormat="1" x14ac:dyDescent="0.2">
      <c r="B426" s="522"/>
      <c r="C426" s="561"/>
      <c r="D426" s="561"/>
      <c r="E426" s="17">
        <v>23601002</v>
      </c>
      <c r="F426" s="7" t="s">
        <v>58</v>
      </c>
      <c r="G426" s="355">
        <v>300000</v>
      </c>
      <c r="H426" s="355">
        <v>200000</v>
      </c>
      <c r="I426" s="355">
        <v>132905.304</v>
      </c>
      <c r="J426" s="355">
        <v>0</v>
      </c>
      <c r="K426" s="137">
        <v>150000</v>
      </c>
      <c r="L426" s="362">
        <f t="shared" si="143"/>
        <v>0.5</v>
      </c>
      <c r="M426" s="161"/>
      <c r="N426" s="188"/>
      <c r="O426" s="187"/>
      <c r="P426" s="305">
        <v>200000</v>
      </c>
    </row>
    <row r="427" spans="2:16" s="25" customFormat="1" x14ac:dyDescent="0.2">
      <c r="B427" s="522"/>
      <c r="C427" s="561"/>
      <c r="D427" s="561"/>
      <c r="E427" s="17">
        <v>23601003</v>
      </c>
      <c r="F427" s="7" t="s">
        <v>59</v>
      </c>
      <c r="G427" s="355">
        <v>300000</v>
      </c>
      <c r="H427" s="355">
        <v>300000</v>
      </c>
      <c r="I427" s="355">
        <v>120190</v>
      </c>
      <c r="J427" s="355">
        <v>179810</v>
      </c>
      <c r="K427" s="137">
        <v>500000</v>
      </c>
      <c r="L427" s="362">
        <f t="shared" si="143"/>
        <v>1.6666666666666667</v>
      </c>
      <c r="M427" s="161"/>
      <c r="N427" s="188"/>
      <c r="O427" s="187"/>
      <c r="P427" s="305">
        <v>700000</v>
      </c>
    </row>
    <row r="428" spans="2:16" s="25" customFormat="1" x14ac:dyDescent="0.2">
      <c r="B428" s="522"/>
      <c r="C428" s="561"/>
      <c r="D428" s="561"/>
      <c r="E428" s="17">
        <v>23601004</v>
      </c>
      <c r="F428" s="7" t="s">
        <v>60</v>
      </c>
      <c r="G428" s="355">
        <v>15000</v>
      </c>
      <c r="H428" s="355">
        <v>15000</v>
      </c>
      <c r="I428" s="355">
        <v>994.14</v>
      </c>
      <c r="J428" s="355">
        <v>6152.02</v>
      </c>
      <c r="K428" s="137">
        <v>15000</v>
      </c>
      <c r="L428" s="362">
        <f t="shared" si="143"/>
        <v>1</v>
      </c>
      <c r="M428" s="161"/>
      <c r="N428" s="188"/>
      <c r="O428" s="187"/>
      <c r="P428" s="305">
        <v>15000</v>
      </c>
    </row>
    <row r="429" spans="2:16" s="25" customFormat="1" x14ac:dyDescent="0.2">
      <c r="B429" s="522"/>
      <c r="C429" s="561"/>
      <c r="D429" s="561"/>
      <c r="E429" s="17">
        <v>23601005</v>
      </c>
      <c r="F429" s="7" t="s">
        <v>61</v>
      </c>
      <c r="G429" s="355">
        <v>5000</v>
      </c>
      <c r="H429" s="355">
        <v>5000</v>
      </c>
      <c r="I429" s="355">
        <v>0</v>
      </c>
      <c r="J429" s="355">
        <v>0</v>
      </c>
      <c r="K429" s="137">
        <v>5000</v>
      </c>
      <c r="L429" s="362">
        <f t="shared" si="143"/>
        <v>1</v>
      </c>
      <c r="M429" s="161"/>
      <c r="N429" s="188"/>
      <c r="O429" s="187"/>
      <c r="P429" s="305">
        <v>5000</v>
      </c>
    </row>
    <row r="430" spans="2:16" s="25" customFormat="1" x14ac:dyDescent="0.2">
      <c r="B430" s="522"/>
      <c r="C430" s="561"/>
      <c r="D430" s="561"/>
      <c r="E430" s="17">
        <v>23601006</v>
      </c>
      <c r="F430" s="7" t="s">
        <v>62</v>
      </c>
      <c r="G430" s="355">
        <v>10000</v>
      </c>
      <c r="H430" s="355">
        <v>12000</v>
      </c>
      <c r="I430" s="355">
        <v>3279.8380000000002</v>
      </c>
      <c r="J430" s="355">
        <v>5839.942</v>
      </c>
      <c r="K430" s="137">
        <v>10000</v>
      </c>
      <c r="L430" s="362">
        <f t="shared" si="143"/>
        <v>1</v>
      </c>
      <c r="M430" s="161"/>
      <c r="N430" s="188"/>
      <c r="O430" s="187"/>
      <c r="P430" s="305">
        <v>10000</v>
      </c>
    </row>
    <row r="431" spans="2:16" s="25" customFormat="1" x14ac:dyDescent="0.2">
      <c r="B431" s="522"/>
      <c r="C431" s="561"/>
      <c r="D431" s="561"/>
      <c r="E431" s="17">
        <v>23601007</v>
      </c>
      <c r="F431" s="7" t="s">
        <v>63</v>
      </c>
      <c r="G431" s="355">
        <v>25000</v>
      </c>
      <c r="H431" s="355">
        <v>23000</v>
      </c>
      <c r="I431" s="355">
        <v>14289.664000000001</v>
      </c>
      <c r="J431" s="355">
        <v>0</v>
      </c>
      <c r="K431" s="137">
        <v>20000</v>
      </c>
      <c r="L431" s="362">
        <f t="shared" si="143"/>
        <v>0.8</v>
      </c>
      <c r="M431" s="161"/>
      <c r="N431" s="188"/>
      <c r="O431" s="187"/>
      <c r="P431" s="305">
        <v>25000</v>
      </c>
    </row>
    <row r="432" spans="2:16" s="25" customFormat="1" x14ac:dyDescent="0.2">
      <c r="B432" s="522"/>
      <c r="C432" s="561"/>
      <c r="D432" s="561"/>
      <c r="E432" s="17">
        <v>23602001</v>
      </c>
      <c r="F432" s="7" t="s">
        <v>64</v>
      </c>
      <c r="G432" s="355">
        <v>50000</v>
      </c>
      <c r="H432" s="355">
        <v>50000</v>
      </c>
      <c r="I432" s="355">
        <v>0</v>
      </c>
      <c r="J432" s="355">
        <v>0</v>
      </c>
      <c r="K432" s="137">
        <v>50000</v>
      </c>
      <c r="L432" s="362">
        <f t="shared" si="143"/>
        <v>1</v>
      </c>
      <c r="M432" s="161"/>
      <c r="N432" s="188"/>
      <c r="O432" s="187"/>
      <c r="P432" s="305">
        <v>50000</v>
      </c>
    </row>
    <row r="433" spans="2:16" s="25" customFormat="1" x14ac:dyDescent="0.2">
      <c r="B433" s="522"/>
      <c r="C433" s="561"/>
      <c r="D433" s="561"/>
      <c r="E433" s="17">
        <v>23602002</v>
      </c>
      <c r="F433" s="7" t="s">
        <v>65</v>
      </c>
      <c r="G433" s="355">
        <v>1000</v>
      </c>
      <c r="H433" s="355">
        <v>1000</v>
      </c>
      <c r="I433" s="355">
        <v>0</v>
      </c>
      <c r="J433" s="355">
        <v>0</v>
      </c>
      <c r="K433" s="137">
        <v>1000</v>
      </c>
      <c r="L433" s="362">
        <f t="shared" si="143"/>
        <v>1</v>
      </c>
      <c r="M433" s="161"/>
      <c r="N433" s="188"/>
      <c r="O433" s="187"/>
      <c r="P433" s="305">
        <v>1000</v>
      </c>
    </row>
    <row r="434" spans="2:16" s="25" customFormat="1" x14ac:dyDescent="0.2">
      <c r="B434" s="522"/>
      <c r="C434" s="561"/>
      <c r="D434" s="561"/>
      <c r="E434" s="17">
        <v>23602003</v>
      </c>
      <c r="F434" s="7" t="s">
        <v>66</v>
      </c>
      <c r="G434" s="355">
        <v>1500</v>
      </c>
      <c r="H434" s="355">
        <v>16500</v>
      </c>
      <c r="I434" s="355">
        <v>15890.88</v>
      </c>
      <c r="J434" s="355">
        <v>1.66</v>
      </c>
      <c r="K434" s="137">
        <v>5000</v>
      </c>
      <c r="L434" s="362">
        <f t="shared" si="143"/>
        <v>3.3333333333333335</v>
      </c>
      <c r="M434" s="161"/>
      <c r="N434" s="188"/>
      <c r="O434" s="187"/>
      <c r="P434" s="305">
        <v>5000</v>
      </c>
    </row>
    <row r="435" spans="2:16" s="25" customFormat="1" x14ac:dyDescent="0.2">
      <c r="B435" s="522"/>
      <c r="C435" s="561"/>
      <c r="D435" s="561"/>
      <c r="E435" s="17">
        <v>23606006</v>
      </c>
      <c r="F435" s="7" t="s">
        <v>402</v>
      </c>
      <c r="G435" s="355">
        <v>3000</v>
      </c>
      <c r="H435" s="355">
        <v>3000</v>
      </c>
      <c r="I435" s="355">
        <v>62.1</v>
      </c>
      <c r="J435" s="355">
        <v>0</v>
      </c>
      <c r="K435" s="137">
        <v>3000</v>
      </c>
      <c r="L435" s="362">
        <f t="shared" si="143"/>
        <v>1</v>
      </c>
      <c r="M435" s="161"/>
      <c r="N435" s="188"/>
      <c r="O435" s="187"/>
      <c r="P435" s="305">
        <v>3000</v>
      </c>
    </row>
    <row r="436" spans="2:16" s="25" customFormat="1" x14ac:dyDescent="0.2">
      <c r="B436" s="522"/>
      <c r="C436" s="561"/>
      <c r="D436" s="561"/>
      <c r="E436" s="17">
        <v>23615001</v>
      </c>
      <c r="F436" s="7" t="s">
        <v>74</v>
      </c>
      <c r="G436" s="355">
        <v>50000</v>
      </c>
      <c r="H436" s="355">
        <v>35000</v>
      </c>
      <c r="I436" s="355">
        <v>23937.411</v>
      </c>
      <c r="J436" s="355">
        <v>9253.4</v>
      </c>
      <c r="K436" s="137">
        <v>50000</v>
      </c>
      <c r="L436" s="362">
        <f t="shared" si="143"/>
        <v>1</v>
      </c>
      <c r="M436" s="161"/>
      <c r="N436" s="188"/>
      <c r="O436" s="187"/>
      <c r="P436" s="305">
        <v>50000</v>
      </c>
    </row>
    <row r="437" spans="2:16" s="25" customFormat="1" x14ac:dyDescent="0.2">
      <c r="B437" s="522"/>
      <c r="C437" s="561"/>
      <c r="D437" s="561"/>
      <c r="E437" s="17">
        <v>23615003</v>
      </c>
      <c r="F437" s="65" t="s">
        <v>508</v>
      </c>
      <c r="G437" s="355">
        <v>100000</v>
      </c>
      <c r="H437" s="355">
        <v>100000</v>
      </c>
      <c r="I437" s="355">
        <v>2537.5680000000002</v>
      </c>
      <c r="J437" s="355">
        <v>0</v>
      </c>
      <c r="K437" s="137">
        <v>75000</v>
      </c>
      <c r="L437" s="362">
        <f t="shared" si="143"/>
        <v>0.75</v>
      </c>
      <c r="M437" s="161"/>
      <c r="N437" s="188"/>
      <c r="O437" s="187"/>
      <c r="P437" s="305">
        <v>100000</v>
      </c>
    </row>
    <row r="438" spans="2:16" s="25" customFormat="1" x14ac:dyDescent="0.2">
      <c r="B438" s="522"/>
      <c r="C438" s="561"/>
      <c r="D438" s="561"/>
      <c r="E438" s="17">
        <v>24903001</v>
      </c>
      <c r="F438" s="7" t="s">
        <v>89</v>
      </c>
      <c r="G438" s="355">
        <v>450000</v>
      </c>
      <c r="H438" s="355">
        <v>645000</v>
      </c>
      <c r="I438" s="355">
        <v>640844.58400000003</v>
      </c>
      <c r="J438" s="355">
        <v>0</v>
      </c>
      <c r="K438" s="137">
        <v>800000</v>
      </c>
      <c r="L438" s="362">
        <f t="shared" si="143"/>
        <v>1.7777777777777777</v>
      </c>
      <c r="M438" s="161"/>
      <c r="N438" s="188"/>
      <c r="O438" s="187"/>
      <c r="P438" s="305">
        <v>500000</v>
      </c>
    </row>
    <row r="439" spans="2:16" s="25" customFormat="1" x14ac:dyDescent="0.2">
      <c r="B439" s="522"/>
      <c r="C439" s="561"/>
      <c r="D439" s="561"/>
      <c r="E439" s="17"/>
      <c r="F439" s="7" t="s">
        <v>410</v>
      </c>
      <c r="G439" s="355"/>
      <c r="H439" s="355"/>
      <c r="I439" s="355"/>
      <c r="J439" s="355"/>
      <c r="K439" s="137">
        <v>100000</v>
      </c>
      <c r="L439" s="362" t="str">
        <f t="shared" si="143"/>
        <v/>
      </c>
      <c r="M439" s="161"/>
      <c r="N439" s="188"/>
      <c r="O439" s="187"/>
      <c r="P439" s="305"/>
    </row>
    <row r="440" spans="2:16" s="25" customFormat="1" x14ac:dyDescent="0.2">
      <c r="B440" s="522"/>
      <c r="C440" s="561"/>
      <c r="D440" s="561"/>
      <c r="E440" s="538" t="s">
        <v>344</v>
      </c>
      <c r="F440" s="538"/>
      <c r="G440" s="151">
        <f>SUM(G425:G439)</f>
        <v>1660500</v>
      </c>
      <c r="H440" s="151">
        <f t="shared" ref="H440:J440" si="154">SUM(H425:H439)</f>
        <v>1755500</v>
      </c>
      <c r="I440" s="151">
        <f t="shared" si="154"/>
        <v>1231042.827</v>
      </c>
      <c r="J440" s="151">
        <f t="shared" si="154"/>
        <v>201057.022</v>
      </c>
      <c r="K440" s="151">
        <f>SUM(K425:K439)</f>
        <v>1984000</v>
      </c>
      <c r="L440" s="362">
        <f t="shared" si="143"/>
        <v>1.1948208370972599</v>
      </c>
      <c r="M440" s="184"/>
      <c r="N440" s="188"/>
      <c r="O440" s="187"/>
      <c r="P440" s="151">
        <f>SUM(P425:P439)</f>
        <v>1964000</v>
      </c>
    </row>
    <row r="441" spans="2:16" s="25" customFormat="1" x14ac:dyDescent="0.2">
      <c r="B441" s="539" t="s">
        <v>345</v>
      </c>
      <c r="C441" s="539"/>
      <c r="D441" s="539"/>
      <c r="E441" s="539"/>
      <c r="F441" s="539"/>
      <c r="G441" s="134">
        <f t="shared" ref="G441:K441" si="155">G440</f>
        <v>1660500</v>
      </c>
      <c r="H441" s="134">
        <f t="shared" si="155"/>
        <v>1755500</v>
      </c>
      <c r="I441" s="134">
        <f t="shared" si="155"/>
        <v>1231042.827</v>
      </c>
      <c r="J441" s="134">
        <f t="shared" si="155"/>
        <v>201057.022</v>
      </c>
      <c r="K441" s="134">
        <f t="shared" si="155"/>
        <v>1984000</v>
      </c>
      <c r="L441" s="362">
        <f t="shared" si="143"/>
        <v>1.1948208370972599</v>
      </c>
      <c r="M441" s="184"/>
      <c r="N441" s="188"/>
      <c r="O441" s="187"/>
      <c r="P441" s="134">
        <f>P440</f>
        <v>1964000</v>
      </c>
    </row>
    <row r="442" spans="2:16" s="25" customFormat="1" x14ac:dyDescent="0.2">
      <c r="B442" s="522" t="s">
        <v>403</v>
      </c>
      <c r="C442" s="561">
        <v>91</v>
      </c>
      <c r="D442" s="561">
        <v>6</v>
      </c>
      <c r="E442" s="17">
        <v>24601001</v>
      </c>
      <c r="F442" s="7" t="s">
        <v>75</v>
      </c>
      <c r="G442" s="355">
        <v>3550</v>
      </c>
      <c r="H442" s="355">
        <v>3550</v>
      </c>
      <c r="I442" s="355">
        <v>3550</v>
      </c>
      <c r="J442" s="355">
        <v>0</v>
      </c>
      <c r="K442" s="137">
        <v>3550</v>
      </c>
      <c r="L442" s="362">
        <f t="shared" si="143"/>
        <v>1</v>
      </c>
      <c r="M442" s="161"/>
      <c r="N442" s="188"/>
      <c r="O442" s="187"/>
      <c r="P442" s="305">
        <v>3550</v>
      </c>
    </row>
    <row r="443" spans="2:16" s="25" customFormat="1" x14ac:dyDescent="0.2">
      <c r="B443" s="522"/>
      <c r="C443" s="561"/>
      <c r="D443" s="561"/>
      <c r="E443" s="17">
        <v>24601002</v>
      </c>
      <c r="F443" s="7" t="s">
        <v>404</v>
      </c>
      <c r="G443" s="355">
        <v>2150</v>
      </c>
      <c r="H443" s="355">
        <v>2150</v>
      </c>
      <c r="I443" s="355">
        <v>0</v>
      </c>
      <c r="J443" s="355">
        <v>0</v>
      </c>
      <c r="K443" s="137">
        <v>2150</v>
      </c>
      <c r="L443" s="362">
        <f t="shared" si="143"/>
        <v>1</v>
      </c>
      <c r="M443" s="161"/>
      <c r="N443" s="188"/>
      <c r="O443" s="187"/>
      <c r="P443" s="305">
        <v>2150</v>
      </c>
    </row>
    <row r="444" spans="2:16" s="25" customFormat="1" x14ac:dyDescent="0.2">
      <c r="B444" s="522"/>
      <c r="C444" s="561"/>
      <c r="D444" s="561"/>
      <c r="E444" s="17">
        <v>24601004</v>
      </c>
      <c r="F444" s="7" t="s">
        <v>405</v>
      </c>
      <c r="G444" s="355">
        <v>400</v>
      </c>
      <c r="H444" s="355">
        <v>400</v>
      </c>
      <c r="I444" s="355">
        <v>0</v>
      </c>
      <c r="J444" s="355">
        <v>0</v>
      </c>
      <c r="K444" s="137">
        <v>400</v>
      </c>
      <c r="L444" s="362">
        <f t="shared" si="143"/>
        <v>1</v>
      </c>
      <c r="M444" s="161"/>
      <c r="N444" s="188"/>
      <c r="O444" s="187"/>
      <c r="P444" s="305">
        <v>400</v>
      </c>
    </row>
    <row r="445" spans="2:16" s="25" customFormat="1" x14ac:dyDescent="0.2">
      <c r="B445" s="522"/>
      <c r="C445" s="561"/>
      <c r="D445" s="561"/>
      <c r="E445" s="17">
        <v>24601006</v>
      </c>
      <c r="F445" s="7" t="s">
        <v>77</v>
      </c>
      <c r="G445" s="355">
        <v>7000</v>
      </c>
      <c r="H445" s="355">
        <v>7000</v>
      </c>
      <c r="I445" s="355">
        <v>7000</v>
      </c>
      <c r="J445" s="355">
        <v>0</v>
      </c>
      <c r="K445" s="137">
        <v>7000</v>
      </c>
      <c r="L445" s="362">
        <f t="shared" si="143"/>
        <v>1</v>
      </c>
      <c r="M445" s="161"/>
      <c r="N445" s="188"/>
      <c r="O445" s="187"/>
      <c r="P445" s="305">
        <v>7000</v>
      </c>
    </row>
    <row r="446" spans="2:16" s="25" customFormat="1" x14ac:dyDescent="0.2">
      <c r="B446" s="522"/>
      <c r="C446" s="561"/>
      <c r="D446" s="561"/>
      <c r="E446" s="17">
        <v>24601007</v>
      </c>
      <c r="F446" s="7" t="s">
        <v>406</v>
      </c>
      <c r="G446" s="355">
        <v>10000</v>
      </c>
      <c r="H446" s="355">
        <v>10000</v>
      </c>
      <c r="I446" s="355">
        <v>0</v>
      </c>
      <c r="J446" s="355">
        <v>0</v>
      </c>
      <c r="K446" s="137">
        <v>10000</v>
      </c>
      <c r="L446" s="362">
        <f t="shared" si="143"/>
        <v>1</v>
      </c>
      <c r="M446" s="161"/>
      <c r="N446" s="188"/>
      <c r="O446" s="187"/>
      <c r="P446" s="305">
        <v>10000</v>
      </c>
    </row>
    <row r="447" spans="2:16" s="25" customFormat="1" x14ac:dyDescent="0.2">
      <c r="B447" s="522"/>
      <c r="C447" s="561"/>
      <c r="D447" s="561"/>
      <c r="E447" s="29">
        <v>24601009</v>
      </c>
      <c r="F447" s="12" t="s">
        <v>283</v>
      </c>
      <c r="G447" s="355">
        <v>400</v>
      </c>
      <c r="H447" s="355">
        <v>400</v>
      </c>
      <c r="I447" s="355">
        <v>393.63600000000002</v>
      </c>
      <c r="J447" s="355">
        <v>0</v>
      </c>
      <c r="K447" s="137">
        <v>400</v>
      </c>
      <c r="L447" s="362">
        <f t="shared" si="143"/>
        <v>1</v>
      </c>
      <c r="M447" s="161"/>
      <c r="N447" s="188"/>
      <c r="O447" s="187"/>
      <c r="P447" s="305">
        <v>400</v>
      </c>
    </row>
    <row r="448" spans="2:16" s="25" customFormat="1" x14ac:dyDescent="0.2">
      <c r="B448" s="522"/>
      <c r="C448" s="561"/>
      <c r="D448" s="561"/>
      <c r="E448" s="17">
        <v>24602001</v>
      </c>
      <c r="F448" s="7" t="s">
        <v>407</v>
      </c>
      <c r="G448" s="355">
        <v>3600</v>
      </c>
      <c r="H448" s="355">
        <v>3600</v>
      </c>
      <c r="I448" s="355">
        <v>3577.6930000000002</v>
      </c>
      <c r="J448" s="355">
        <v>0</v>
      </c>
      <c r="K448" s="137">
        <v>3600</v>
      </c>
      <c r="L448" s="362">
        <f t="shared" si="143"/>
        <v>1</v>
      </c>
      <c r="M448" s="161"/>
      <c r="N448" s="188"/>
      <c r="O448" s="187"/>
      <c r="P448" s="305">
        <v>3600</v>
      </c>
    </row>
    <row r="449" spans="2:16" s="25" customFormat="1" x14ac:dyDescent="0.2">
      <c r="B449" s="522"/>
      <c r="C449" s="561"/>
      <c r="D449" s="561"/>
      <c r="E449" s="17">
        <v>24602002</v>
      </c>
      <c r="F449" s="7" t="s">
        <v>131</v>
      </c>
      <c r="G449" s="355">
        <v>2000</v>
      </c>
      <c r="H449" s="355">
        <v>2000</v>
      </c>
      <c r="I449" s="355">
        <v>0</v>
      </c>
      <c r="J449" s="355">
        <v>0</v>
      </c>
      <c r="K449" s="137">
        <v>2000</v>
      </c>
      <c r="L449" s="362">
        <f>IFERROR(K449/G449,"")</f>
        <v>1</v>
      </c>
      <c r="M449" s="161"/>
      <c r="N449" s="188"/>
      <c r="O449" s="187"/>
      <c r="P449" s="305">
        <v>2000</v>
      </c>
    </row>
    <row r="450" spans="2:16" s="25" customFormat="1" x14ac:dyDescent="0.2">
      <c r="B450" s="522"/>
      <c r="C450" s="561"/>
      <c r="D450" s="561"/>
      <c r="E450" s="17">
        <v>24602004</v>
      </c>
      <c r="F450" s="7" t="s">
        <v>132</v>
      </c>
      <c r="G450" s="355">
        <v>15000</v>
      </c>
      <c r="H450" s="355">
        <v>15000</v>
      </c>
      <c r="I450" s="355">
        <v>15000</v>
      </c>
      <c r="J450" s="355">
        <v>0</v>
      </c>
      <c r="K450" s="137">
        <v>15000</v>
      </c>
      <c r="L450" s="362">
        <f t="shared" si="143"/>
        <v>1</v>
      </c>
      <c r="M450" s="161"/>
      <c r="N450" s="188"/>
      <c r="O450" s="187"/>
      <c r="P450" s="305">
        <v>15000</v>
      </c>
    </row>
    <row r="451" spans="2:16" s="25" customFormat="1" x14ac:dyDescent="0.2">
      <c r="B451" s="522"/>
      <c r="C451" s="561"/>
      <c r="D451" s="561"/>
      <c r="E451" s="17">
        <v>24602007</v>
      </c>
      <c r="F451" s="7" t="s">
        <v>80</v>
      </c>
      <c r="G451" s="355">
        <v>500</v>
      </c>
      <c r="H451" s="355">
        <v>500</v>
      </c>
      <c r="I451" s="355">
        <v>0</v>
      </c>
      <c r="J451" s="355">
        <v>0</v>
      </c>
      <c r="K451" s="137">
        <v>500</v>
      </c>
      <c r="L451" s="362">
        <f t="shared" si="143"/>
        <v>1</v>
      </c>
      <c r="M451" s="161"/>
      <c r="N451" s="188"/>
      <c r="O451" s="187"/>
      <c r="P451" s="305">
        <v>500</v>
      </c>
    </row>
    <row r="452" spans="2:16" s="25" customFormat="1" x14ac:dyDescent="0.2">
      <c r="B452" s="522"/>
      <c r="C452" s="561"/>
      <c r="D452" s="561"/>
      <c r="E452" s="17">
        <v>24605003</v>
      </c>
      <c r="F452" s="7" t="s">
        <v>81</v>
      </c>
      <c r="G452" s="355">
        <v>5000</v>
      </c>
      <c r="H452" s="355">
        <v>5000</v>
      </c>
      <c r="I452" s="355">
        <v>0</v>
      </c>
      <c r="J452" s="355">
        <v>0</v>
      </c>
      <c r="K452" s="137">
        <v>5000</v>
      </c>
      <c r="L452" s="362">
        <f t="shared" si="143"/>
        <v>1</v>
      </c>
      <c r="M452" s="161"/>
      <c r="N452" s="188"/>
      <c r="O452" s="187"/>
      <c r="P452" s="305">
        <v>5000</v>
      </c>
    </row>
    <row r="453" spans="2:16" s="25" customFormat="1" x14ac:dyDescent="0.2">
      <c r="B453" s="522"/>
      <c r="C453" s="561"/>
      <c r="D453" s="561"/>
      <c r="E453" s="17">
        <v>24605007</v>
      </c>
      <c r="F453" s="7" t="s">
        <v>82</v>
      </c>
      <c r="G453" s="355">
        <v>10000</v>
      </c>
      <c r="H453" s="355">
        <v>10000</v>
      </c>
      <c r="I453" s="355">
        <v>10000</v>
      </c>
      <c r="J453" s="355">
        <v>0</v>
      </c>
      <c r="K453" s="137">
        <v>10000</v>
      </c>
      <c r="L453" s="362">
        <f t="shared" ref="L453:L475" si="156">IFERROR(K453/G453,"")</f>
        <v>1</v>
      </c>
      <c r="M453" s="161"/>
      <c r="N453" s="188"/>
      <c r="O453" s="187"/>
      <c r="P453" s="305">
        <v>10000</v>
      </c>
    </row>
    <row r="454" spans="2:16" s="25" customFormat="1" x14ac:dyDescent="0.2">
      <c r="B454" s="522"/>
      <c r="C454" s="561"/>
      <c r="D454" s="561"/>
      <c r="E454" s="17">
        <v>24605009</v>
      </c>
      <c r="F454" s="7" t="s">
        <v>133</v>
      </c>
      <c r="G454" s="355">
        <v>25000</v>
      </c>
      <c r="H454" s="355">
        <v>25000</v>
      </c>
      <c r="I454" s="355">
        <v>25000</v>
      </c>
      <c r="J454" s="355">
        <v>0</v>
      </c>
      <c r="K454" s="137">
        <v>25000</v>
      </c>
      <c r="L454" s="362">
        <f t="shared" si="156"/>
        <v>1</v>
      </c>
      <c r="M454" s="161"/>
      <c r="N454" s="188"/>
      <c r="O454" s="187"/>
      <c r="P454" s="305">
        <v>25000</v>
      </c>
    </row>
    <row r="455" spans="2:16" s="25" customFormat="1" x14ac:dyDescent="0.2">
      <c r="B455" s="522"/>
      <c r="C455" s="561"/>
      <c r="D455" s="561"/>
      <c r="E455" s="17">
        <v>24605010</v>
      </c>
      <c r="F455" s="7" t="s">
        <v>83</v>
      </c>
      <c r="G455" s="355">
        <v>1500</v>
      </c>
      <c r="H455" s="355">
        <v>1500</v>
      </c>
      <c r="I455" s="355">
        <v>1500</v>
      </c>
      <c r="J455" s="355">
        <v>0</v>
      </c>
      <c r="K455" s="137">
        <v>1500</v>
      </c>
      <c r="L455" s="362">
        <f t="shared" si="156"/>
        <v>1</v>
      </c>
      <c r="M455" s="161"/>
      <c r="N455" s="188"/>
      <c r="O455" s="187"/>
      <c r="P455" s="305">
        <v>1500</v>
      </c>
    </row>
    <row r="456" spans="2:16" s="25" customFormat="1" x14ac:dyDescent="0.2">
      <c r="B456" s="522"/>
      <c r="C456" s="561"/>
      <c r="D456" s="561"/>
      <c r="E456" s="17">
        <v>24605016</v>
      </c>
      <c r="F456" s="7" t="s">
        <v>84</v>
      </c>
      <c r="G456" s="355">
        <v>2000</v>
      </c>
      <c r="H456" s="355">
        <v>2000</v>
      </c>
      <c r="I456" s="355">
        <v>0</v>
      </c>
      <c r="J456" s="355">
        <v>0</v>
      </c>
      <c r="K456" s="137">
        <v>2000</v>
      </c>
      <c r="L456" s="362">
        <f t="shared" si="156"/>
        <v>1</v>
      </c>
      <c r="M456" s="161"/>
      <c r="N456" s="188"/>
      <c r="O456" s="187"/>
      <c r="P456" s="305">
        <v>2000</v>
      </c>
    </row>
    <row r="457" spans="2:16" s="25" customFormat="1" x14ac:dyDescent="0.2">
      <c r="B457" s="522"/>
      <c r="C457" s="561"/>
      <c r="D457" s="561"/>
      <c r="E457" s="17">
        <v>24605017</v>
      </c>
      <c r="F457" s="7" t="s">
        <v>85</v>
      </c>
      <c r="G457" s="355">
        <v>500</v>
      </c>
      <c r="H457" s="355">
        <v>500</v>
      </c>
      <c r="I457" s="355">
        <v>354</v>
      </c>
      <c r="J457" s="355">
        <v>0</v>
      </c>
      <c r="K457" s="137">
        <v>500</v>
      </c>
      <c r="L457" s="362">
        <f t="shared" si="156"/>
        <v>1</v>
      </c>
      <c r="M457" s="161"/>
      <c r="N457" s="188"/>
      <c r="O457" s="187"/>
      <c r="P457" s="305">
        <v>500</v>
      </c>
    </row>
    <row r="458" spans="2:16" s="25" customFormat="1" x14ac:dyDescent="0.2">
      <c r="B458" s="522"/>
      <c r="C458" s="561"/>
      <c r="D458" s="561"/>
      <c r="E458" s="17">
        <v>24605020</v>
      </c>
      <c r="F458" s="7" t="s">
        <v>86</v>
      </c>
      <c r="G458" s="355">
        <v>5000</v>
      </c>
      <c r="H458" s="355">
        <v>5000</v>
      </c>
      <c r="I458" s="355">
        <v>5000</v>
      </c>
      <c r="J458" s="355">
        <v>0</v>
      </c>
      <c r="K458" s="137">
        <v>5000</v>
      </c>
      <c r="L458" s="362">
        <f t="shared" si="156"/>
        <v>1</v>
      </c>
      <c r="M458" s="161"/>
      <c r="N458" s="188"/>
      <c r="O458" s="187"/>
      <c r="P458" s="305">
        <v>5000</v>
      </c>
    </row>
    <row r="459" spans="2:16" s="25" customFormat="1" x14ac:dyDescent="0.2">
      <c r="B459" s="522"/>
      <c r="C459" s="561"/>
      <c r="D459" s="561"/>
      <c r="E459" s="17">
        <v>24605021</v>
      </c>
      <c r="F459" s="7" t="s">
        <v>87</v>
      </c>
      <c r="G459" s="355">
        <v>250</v>
      </c>
      <c r="H459" s="355">
        <v>250</v>
      </c>
      <c r="I459" s="355">
        <v>0</v>
      </c>
      <c r="J459" s="355">
        <v>0</v>
      </c>
      <c r="K459" s="137">
        <v>250</v>
      </c>
      <c r="L459" s="362">
        <f t="shared" si="156"/>
        <v>1</v>
      </c>
      <c r="M459" s="161"/>
      <c r="N459" s="188"/>
      <c r="O459" s="187"/>
      <c r="P459" s="305">
        <v>250</v>
      </c>
    </row>
    <row r="460" spans="2:16" s="25" customFormat="1" x14ac:dyDescent="0.2">
      <c r="B460" s="522"/>
      <c r="C460" s="561"/>
      <c r="D460" s="561"/>
      <c r="E460" s="17">
        <v>24605022</v>
      </c>
      <c r="F460" s="7" t="s">
        <v>88</v>
      </c>
      <c r="G460" s="355">
        <v>250</v>
      </c>
      <c r="H460" s="355">
        <v>250</v>
      </c>
      <c r="I460" s="355">
        <v>250</v>
      </c>
      <c r="J460" s="355">
        <v>0</v>
      </c>
      <c r="K460" s="137">
        <v>250</v>
      </c>
      <c r="L460" s="362">
        <f t="shared" si="156"/>
        <v>1</v>
      </c>
      <c r="M460" s="161"/>
      <c r="N460" s="188"/>
      <c r="O460" s="187"/>
      <c r="P460" s="305">
        <v>250</v>
      </c>
    </row>
    <row r="461" spans="2:16" s="25" customFormat="1" x14ac:dyDescent="0.2">
      <c r="B461" s="522"/>
      <c r="C461" s="561"/>
      <c r="D461" s="561"/>
      <c r="E461" s="123"/>
      <c r="F461" s="60" t="s">
        <v>511</v>
      </c>
      <c r="G461" s="355"/>
      <c r="H461" s="355"/>
      <c r="I461" s="355"/>
      <c r="J461" s="355"/>
      <c r="K461" s="137">
        <v>400</v>
      </c>
      <c r="L461" s="362" t="str">
        <f>IFERROR(K461/G461,"")</f>
        <v/>
      </c>
      <c r="M461" s="161"/>
      <c r="N461" s="188"/>
      <c r="O461" s="187"/>
      <c r="P461" s="132">
        <v>400</v>
      </c>
    </row>
    <row r="462" spans="2:16" s="25" customFormat="1" x14ac:dyDescent="0.2">
      <c r="B462" s="522"/>
      <c r="C462" s="561"/>
      <c r="D462" s="561"/>
      <c r="E462" s="538" t="s">
        <v>344</v>
      </c>
      <c r="F462" s="538"/>
      <c r="G462" s="151">
        <f>SUM(G442:G461)</f>
        <v>94100</v>
      </c>
      <c r="H462" s="151">
        <f t="shared" ref="H462:K462" si="157">SUM(H442:H461)</f>
        <v>94100</v>
      </c>
      <c r="I462" s="151">
        <f>SUM(I442:I461)</f>
        <v>71625.328999999998</v>
      </c>
      <c r="J462" s="151">
        <f t="shared" si="157"/>
        <v>0</v>
      </c>
      <c r="K462" s="151">
        <f t="shared" si="157"/>
        <v>94500</v>
      </c>
      <c r="L462" s="362">
        <f t="shared" si="156"/>
        <v>1.0042507970244421</v>
      </c>
      <c r="M462" s="184"/>
      <c r="N462" s="188"/>
      <c r="O462" s="187"/>
      <c r="P462" s="151">
        <f>SUM(P442:P461)</f>
        <v>94500</v>
      </c>
    </row>
    <row r="463" spans="2:16" s="25" customFormat="1" x14ac:dyDescent="0.2">
      <c r="B463" s="539" t="s">
        <v>345</v>
      </c>
      <c r="C463" s="539"/>
      <c r="D463" s="539"/>
      <c r="E463" s="539"/>
      <c r="F463" s="539"/>
      <c r="G463" s="134">
        <f t="shared" ref="G463:K463" si="158">G462</f>
        <v>94100</v>
      </c>
      <c r="H463" s="134">
        <f t="shared" si="158"/>
        <v>94100</v>
      </c>
      <c r="I463" s="134">
        <f t="shared" si="158"/>
        <v>71625.328999999998</v>
      </c>
      <c r="J463" s="134">
        <f t="shared" si="158"/>
        <v>0</v>
      </c>
      <c r="K463" s="134">
        <f t="shared" si="158"/>
        <v>94500</v>
      </c>
      <c r="L463" s="362">
        <f t="shared" si="156"/>
        <v>1.0042507970244421</v>
      </c>
      <c r="M463" s="184"/>
      <c r="N463" s="188"/>
      <c r="O463" s="187"/>
      <c r="P463" s="134">
        <f>P462</f>
        <v>94500</v>
      </c>
    </row>
    <row r="464" spans="2:16" s="25" customFormat="1" x14ac:dyDescent="0.2">
      <c r="B464" s="522" t="s">
        <v>621</v>
      </c>
      <c r="C464" s="561">
        <v>91</v>
      </c>
      <c r="D464" s="561">
        <v>12</v>
      </c>
      <c r="E464" s="120">
        <v>25001003</v>
      </c>
      <c r="F464" s="66" t="s">
        <v>409</v>
      </c>
      <c r="G464" s="133"/>
      <c r="H464" s="133"/>
      <c r="I464" s="133"/>
      <c r="J464" s="133"/>
      <c r="K464" s="137"/>
      <c r="L464" s="362" t="str">
        <f>IFERROR(K464/G464,"")</f>
        <v/>
      </c>
      <c r="M464" s="184"/>
      <c r="N464" s="188"/>
      <c r="O464" s="187"/>
      <c r="P464" s="119">
        <v>2000000</v>
      </c>
    </row>
    <row r="465" spans="2:16" s="25" customFormat="1" x14ac:dyDescent="0.2">
      <c r="B465" s="522"/>
      <c r="C465" s="561"/>
      <c r="D465" s="561"/>
      <c r="E465" s="124">
        <v>25002002</v>
      </c>
      <c r="F465" s="66" t="s">
        <v>410</v>
      </c>
      <c r="G465" s="355">
        <v>68000</v>
      </c>
      <c r="H465" s="355">
        <v>68000</v>
      </c>
      <c r="I465" s="355"/>
      <c r="J465" s="355"/>
      <c r="K465" s="137"/>
      <c r="L465" s="362">
        <f>IFERROR(K465/G465,"")</f>
        <v>0</v>
      </c>
      <c r="M465" s="161"/>
      <c r="N465" s="188"/>
      <c r="O465" s="187"/>
      <c r="P465" s="305">
        <v>100000</v>
      </c>
    </row>
    <row r="466" spans="2:16" s="25" customFormat="1" x14ac:dyDescent="0.2">
      <c r="B466" s="522"/>
      <c r="C466" s="561"/>
      <c r="D466" s="561"/>
      <c r="E466" s="227" t="s">
        <v>344</v>
      </c>
      <c r="F466" s="227"/>
      <c r="G466" s="151">
        <f>SUM(G464:G465)</f>
        <v>68000</v>
      </c>
      <c r="H466" s="151">
        <f t="shared" ref="H466:K466" si="159">SUM(H464:H465)</f>
        <v>68000</v>
      </c>
      <c r="I466" s="151">
        <f t="shared" si="159"/>
        <v>0</v>
      </c>
      <c r="J466" s="151">
        <f t="shared" si="159"/>
        <v>0</v>
      </c>
      <c r="K466" s="151">
        <f t="shared" si="159"/>
        <v>0</v>
      </c>
      <c r="L466" s="362">
        <f>IFERROR(K466/G466,"")</f>
        <v>0</v>
      </c>
      <c r="M466" s="184"/>
      <c r="N466" s="188"/>
      <c r="O466" s="187"/>
      <c r="P466" s="151">
        <f>SUM(P464:P465)</f>
        <v>2100000</v>
      </c>
    </row>
    <row r="467" spans="2:16" s="25" customFormat="1" x14ac:dyDescent="0.2">
      <c r="B467" s="539" t="s">
        <v>345</v>
      </c>
      <c r="C467" s="539"/>
      <c r="D467" s="539"/>
      <c r="E467" s="539"/>
      <c r="F467" s="539"/>
      <c r="G467" s="134">
        <f t="shared" ref="G467:K467" si="160">G466</f>
        <v>68000</v>
      </c>
      <c r="H467" s="134">
        <f t="shared" si="160"/>
        <v>68000</v>
      </c>
      <c r="I467" s="134">
        <f t="shared" si="160"/>
        <v>0</v>
      </c>
      <c r="J467" s="134">
        <f t="shared" si="160"/>
        <v>0</v>
      </c>
      <c r="K467" s="134">
        <f t="shared" si="160"/>
        <v>0</v>
      </c>
      <c r="L467" s="362">
        <f>IFERROR(K467/G467,"")</f>
        <v>0</v>
      </c>
      <c r="M467" s="184"/>
      <c r="N467" s="188"/>
      <c r="O467" s="187"/>
      <c r="P467" s="134">
        <f>P466</f>
        <v>2100000</v>
      </c>
    </row>
    <row r="468" spans="2:16" s="25" customFormat="1" x14ac:dyDescent="0.2">
      <c r="B468" s="522" t="s">
        <v>452</v>
      </c>
      <c r="C468" s="561">
        <v>91</v>
      </c>
      <c r="D468" s="561">
        <v>16</v>
      </c>
      <c r="E468" s="17">
        <v>24701001</v>
      </c>
      <c r="F468" s="7" t="s">
        <v>443</v>
      </c>
      <c r="G468" s="355">
        <v>950000</v>
      </c>
      <c r="H468" s="355">
        <v>950000</v>
      </c>
      <c r="I468" s="355">
        <v>449687.85499999998</v>
      </c>
      <c r="J468" s="355">
        <v>493049.337</v>
      </c>
      <c r="K468" s="137">
        <v>1150000</v>
      </c>
      <c r="L468" s="362">
        <f t="shared" si="156"/>
        <v>1.2105263157894737</v>
      </c>
      <c r="M468" s="161"/>
      <c r="N468" s="337">
        <f>J519</f>
        <v>1018108.5660000001</v>
      </c>
      <c r="O468" s="189" t="s">
        <v>587</v>
      </c>
      <c r="P468" s="305">
        <v>1350000</v>
      </c>
    </row>
    <row r="469" spans="2:16" s="25" customFormat="1" x14ac:dyDescent="0.2">
      <c r="B469" s="522"/>
      <c r="C469" s="561"/>
      <c r="D469" s="561"/>
      <c r="E469" s="538" t="s">
        <v>344</v>
      </c>
      <c r="F469" s="538"/>
      <c r="G469" s="151">
        <f t="shared" ref="G469:K469" si="161">SUM(G468)</f>
        <v>950000</v>
      </c>
      <c r="H469" s="151">
        <f t="shared" si="161"/>
        <v>950000</v>
      </c>
      <c r="I469" s="151">
        <f t="shared" si="161"/>
        <v>449687.85499999998</v>
      </c>
      <c r="J469" s="151">
        <f t="shared" si="161"/>
        <v>493049.337</v>
      </c>
      <c r="K469" s="151">
        <f t="shared" si="161"/>
        <v>1150000</v>
      </c>
      <c r="L469" s="362">
        <f t="shared" si="156"/>
        <v>1.2105263157894737</v>
      </c>
      <c r="M469" s="184"/>
      <c r="N469" s="338"/>
      <c r="O469" s="187"/>
      <c r="P469" s="151">
        <f>SUM(P468)</f>
        <v>1350000</v>
      </c>
    </row>
    <row r="470" spans="2:16" s="25" customFormat="1" x14ac:dyDescent="0.2">
      <c r="B470" s="522"/>
      <c r="C470" s="561"/>
      <c r="D470" s="561"/>
      <c r="E470" s="17">
        <v>25501001</v>
      </c>
      <c r="F470" s="7" t="s">
        <v>444</v>
      </c>
      <c r="G470" s="355">
        <v>700000</v>
      </c>
      <c r="H470" s="355">
        <v>684000</v>
      </c>
      <c r="I470" s="355">
        <v>267208.53100000002</v>
      </c>
      <c r="J470" s="355">
        <v>415893.59399999998</v>
      </c>
      <c r="K470" s="137">
        <v>620000</v>
      </c>
      <c r="L470" s="362">
        <f t="shared" si="156"/>
        <v>0.88571428571428568</v>
      </c>
      <c r="M470" s="161"/>
      <c r="N470" s="337">
        <f>J520</f>
        <v>505450.39499999996</v>
      </c>
      <c r="O470" s="189" t="s">
        <v>589</v>
      </c>
      <c r="P470" s="305">
        <v>700000</v>
      </c>
    </row>
    <row r="471" spans="2:16" s="25" customFormat="1" x14ac:dyDescent="0.2">
      <c r="B471" s="522"/>
      <c r="C471" s="561"/>
      <c r="D471" s="561"/>
      <c r="E471" s="439" t="s">
        <v>346</v>
      </c>
      <c r="F471" s="439"/>
      <c r="G471" s="144">
        <f t="shared" ref="G471:K471" si="162">SUM(G470:G470)</f>
        <v>700000</v>
      </c>
      <c r="H471" s="144">
        <f t="shared" si="162"/>
        <v>684000</v>
      </c>
      <c r="I471" s="144">
        <f t="shared" si="162"/>
        <v>267208.53100000002</v>
      </c>
      <c r="J471" s="144">
        <f t="shared" si="162"/>
        <v>415893.59399999998</v>
      </c>
      <c r="K471" s="144">
        <f t="shared" si="162"/>
        <v>620000</v>
      </c>
      <c r="L471" s="362">
        <f t="shared" si="156"/>
        <v>0.88571428571428568</v>
      </c>
      <c r="M471" s="184"/>
      <c r="N471" s="338"/>
      <c r="O471" s="187"/>
      <c r="P471" s="144">
        <f>SUM(P470:P470)</f>
        <v>700000</v>
      </c>
    </row>
    <row r="472" spans="2:16" s="25" customFormat="1" x14ac:dyDescent="0.2">
      <c r="B472" s="522"/>
      <c r="C472" s="561"/>
      <c r="D472" s="561"/>
      <c r="E472" s="17">
        <v>27001001</v>
      </c>
      <c r="F472" s="7" t="s">
        <v>445</v>
      </c>
      <c r="G472" s="355">
        <v>1450000</v>
      </c>
      <c r="H472" s="355">
        <v>1450000</v>
      </c>
      <c r="I472" s="355">
        <v>430561.71399999998</v>
      </c>
      <c r="J472" s="355">
        <v>578981.00300000003</v>
      </c>
      <c r="K472" s="137">
        <v>884000</v>
      </c>
      <c r="L472" s="362">
        <f t="shared" si="156"/>
        <v>0.60965517241379308</v>
      </c>
      <c r="M472" s="161"/>
      <c r="N472" s="337">
        <f>J522</f>
        <v>786795.99</v>
      </c>
      <c r="O472" s="189" t="s">
        <v>588</v>
      </c>
      <c r="P472" s="305">
        <v>1100000</v>
      </c>
    </row>
    <row r="473" spans="2:16" s="25" customFormat="1" x14ac:dyDescent="0.2">
      <c r="B473" s="522"/>
      <c r="C473" s="561"/>
      <c r="D473" s="561"/>
      <c r="E473" s="459" t="s">
        <v>347</v>
      </c>
      <c r="F473" s="459"/>
      <c r="G473" s="138">
        <f t="shared" ref="G473:K473" si="163">SUM(G472)</f>
        <v>1450000</v>
      </c>
      <c r="H473" s="138">
        <f t="shared" si="163"/>
        <v>1450000</v>
      </c>
      <c r="I473" s="138">
        <f t="shared" si="163"/>
        <v>430561.71399999998</v>
      </c>
      <c r="J473" s="138">
        <f t="shared" si="163"/>
        <v>578981.00300000003</v>
      </c>
      <c r="K473" s="138">
        <f t="shared" si="163"/>
        <v>884000</v>
      </c>
      <c r="L473" s="362">
        <f t="shared" si="156"/>
        <v>0.60965517241379308</v>
      </c>
      <c r="M473" s="184"/>
      <c r="N473" s="339"/>
      <c r="O473" s="339"/>
      <c r="P473" s="138">
        <f>SUM(P472)</f>
        <v>1100000</v>
      </c>
    </row>
    <row r="474" spans="2:16" s="25" customFormat="1" x14ac:dyDescent="0.2">
      <c r="B474" s="539" t="s">
        <v>345</v>
      </c>
      <c r="C474" s="539"/>
      <c r="D474" s="539"/>
      <c r="E474" s="539"/>
      <c r="F474" s="539"/>
      <c r="G474" s="134">
        <f t="shared" ref="G474:K474" si="164">G469+G471+G473</f>
        <v>3100000</v>
      </c>
      <c r="H474" s="134">
        <f t="shared" si="164"/>
        <v>3084000</v>
      </c>
      <c r="I474" s="134">
        <f t="shared" si="164"/>
        <v>1147458.0999999999</v>
      </c>
      <c r="J474" s="134">
        <f t="shared" si="164"/>
        <v>1487923.9339999999</v>
      </c>
      <c r="K474" s="134">
        <f t="shared" si="164"/>
        <v>2654000</v>
      </c>
      <c r="L474" s="362">
        <f t="shared" si="156"/>
        <v>0.85612903225806447</v>
      </c>
      <c r="M474" s="154"/>
      <c r="N474" s="188"/>
      <c r="O474" s="187"/>
      <c r="P474" s="134">
        <f>P469+P471+P473</f>
        <v>3150000</v>
      </c>
    </row>
    <row r="475" spans="2:16" s="25" customFormat="1" x14ac:dyDescent="0.2">
      <c r="B475" s="562" t="s">
        <v>607</v>
      </c>
      <c r="C475" s="562"/>
      <c r="D475" s="562"/>
      <c r="E475" s="562"/>
      <c r="F475" s="562"/>
      <c r="G475" s="192">
        <f t="shared" ref="G475:K475" si="165">G9+G22+G26+G32+G36+G47+G53+G59+G64+G73+G82+G93+G100+G109+G114+G124+G129+G141+G145+G153+G157+G164+G179+G199+G215+G223+G227+G230+G234+G237+G245+G249+G253+G257+G267+G280+G285+G294+G319+G334+G353+G358+G363+G367+G371+G376+G384+G387+G395+G409+G417+G424+G441+G463+G467+G474</f>
        <v>36380000</v>
      </c>
      <c r="H475" s="192">
        <f t="shared" si="165"/>
        <v>37162000</v>
      </c>
      <c r="I475" s="192">
        <f t="shared" si="165"/>
        <v>30655530.927999999</v>
      </c>
      <c r="J475" s="192">
        <f t="shared" si="165"/>
        <v>2310354.9509999999</v>
      </c>
      <c r="K475" s="192">
        <f t="shared" si="165"/>
        <v>35724000</v>
      </c>
      <c r="L475" s="362">
        <f t="shared" si="156"/>
        <v>0.98196811434854314</v>
      </c>
      <c r="M475" s="154"/>
      <c r="O475" s="187"/>
      <c r="P475" s="192">
        <f>P9+P22+P26+P32+P36+P47+P53+P59+P64+P73+P82+P93+P100+P109+P114+P124+P129+P141+P145+P153+P157+P164+P179+P199+P215+P223+P227+P230+P234+P237+P245+P249+P253+P257+P267+P280+P285+P294+P319+P334+P353+P358+P363+P367+P371+P376+P384+P387+P395+P409+P417+P424+P441+P463+P467+P474</f>
        <v>25272283</v>
      </c>
    </row>
    <row r="476" spans="2:16" s="25" customFormat="1" x14ac:dyDescent="0.2">
      <c r="B476" s="568"/>
      <c r="C476" s="568"/>
      <c r="D476" s="568"/>
      <c r="E476" s="568"/>
      <c r="F476" s="568"/>
      <c r="G476" s="568"/>
      <c r="H476" s="568"/>
      <c r="I476" s="568"/>
      <c r="J476" s="568"/>
      <c r="K476" s="568"/>
      <c r="L476" s="568"/>
      <c r="M476" s="154"/>
      <c r="O476" s="187"/>
      <c r="P476" s="340"/>
    </row>
    <row r="477" spans="2:16" s="25" customFormat="1" x14ac:dyDescent="0.2">
      <c r="B477" s="431" t="s">
        <v>599</v>
      </c>
      <c r="C477" s="431"/>
      <c r="D477" s="431"/>
      <c r="E477" s="431"/>
      <c r="F477" s="431"/>
      <c r="G477" s="431">
        <v>2019</v>
      </c>
      <c r="H477" s="431"/>
      <c r="I477" s="431"/>
      <c r="J477" s="431"/>
      <c r="K477" s="420">
        <v>2020</v>
      </c>
      <c r="L477" s="420"/>
      <c r="M477" s="154"/>
      <c r="O477" s="187"/>
      <c r="P477" s="278">
        <v>2020</v>
      </c>
    </row>
    <row r="478" spans="2:16" s="25" customFormat="1" x14ac:dyDescent="0.2">
      <c r="B478" s="575" t="s">
        <v>599</v>
      </c>
      <c r="C478" s="569">
        <v>91</v>
      </c>
      <c r="D478" s="569">
        <v>10</v>
      </c>
      <c r="E478" s="121"/>
      <c r="F478" s="6" t="s">
        <v>620</v>
      </c>
      <c r="G478" s="355">
        <v>2000000</v>
      </c>
      <c r="H478" s="355">
        <v>795000</v>
      </c>
      <c r="I478" s="355">
        <v>50000</v>
      </c>
      <c r="J478" s="355">
        <v>0</v>
      </c>
      <c r="K478" s="137">
        <v>1900000</v>
      </c>
      <c r="L478" s="362">
        <f t="shared" ref="L478:L483" si="166">IFERROR(K478/G478,"")</f>
        <v>0.95</v>
      </c>
      <c r="M478" s="161"/>
      <c r="O478" s="226"/>
      <c r="P478" s="122">
        <v>2000000</v>
      </c>
    </row>
    <row r="479" spans="2:16" s="25" customFormat="1" x14ac:dyDescent="0.2">
      <c r="B479" s="575"/>
      <c r="C479" s="569"/>
      <c r="D479" s="569"/>
      <c r="E479" s="121"/>
      <c r="F479" s="60" t="s">
        <v>690</v>
      </c>
      <c r="G479" s="375"/>
      <c r="H479" s="375"/>
      <c r="I479" s="375"/>
      <c r="J479" s="375"/>
      <c r="K479" s="137"/>
      <c r="L479" s="362"/>
      <c r="M479" s="161"/>
      <c r="O479" s="226"/>
      <c r="P479" s="122"/>
    </row>
    <row r="480" spans="2:16" s="25" customFormat="1" x14ac:dyDescent="0.2">
      <c r="B480" s="575"/>
      <c r="C480" s="569"/>
      <c r="D480" s="569"/>
      <c r="E480" s="121"/>
      <c r="F480" s="60" t="s">
        <v>677</v>
      </c>
      <c r="G480" s="355"/>
      <c r="H480" s="355"/>
      <c r="I480" s="355"/>
      <c r="J480" s="355"/>
      <c r="K480" s="137">
        <v>500000</v>
      </c>
      <c r="L480" s="362" t="str">
        <f t="shared" si="166"/>
        <v/>
      </c>
      <c r="M480" s="161"/>
      <c r="O480" s="226"/>
      <c r="P480" s="122"/>
    </row>
    <row r="481" spans="2:16" s="25" customFormat="1" x14ac:dyDescent="0.2">
      <c r="B481" s="575"/>
      <c r="C481" s="569"/>
      <c r="D481" s="569"/>
      <c r="E481" s="121"/>
      <c r="F481" s="60" t="s">
        <v>688</v>
      </c>
      <c r="G481" s="355"/>
      <c r="H481" s="357"/>
      <c r="I481" s="357"/>
      <c r="J481" s="355"/>
      <c r="K481" s="137">
        <f>'ر-فرعي'!H152</f>
        <v>5314000</v>
      </c>
      <c r="L481" s="362" t="str">
        <f t="shared" si="166"/>
        <v/>
      </c>
      <c r="M481" s="154"/>
      <c r="O481" s="187"/>
      <c r="P481" s="122"/>
    </row>
    <row r="482" spans="2:16" s="25" customFormat="1" x14ac:dyDescent="0.2">
      <c r="B482" s="575"/>
      <c r="C482" s="569"/>
      <c r="D482" s="569"/>
      <c r="E482" s="29">
        <v>28101006</v>
      </c>
      <c r="F482" s="7" t="s">
        <v>672</v>
      </c>
      <c r="G482" s="355">
        <v>14000000</v>
      </c>
      <c r="H482" s="355">
        <v>14000000</v>
      </c>
      <c r="I482" s="355">
        <v>13740592.323000001</v>
      </c>
      <c r="J482" s="355">
        <v>0</v>
      </c>
      <c r="K482" s="137">
        <v>15376000</v>
      </c>
      <c r="L482" s="362">
        <f>IFERROR(K482/G482,"")</f>
        <v>1.0982857142857143</v>
      </c>
      <c r="M482" s="154"/>
      <c r="N482" s="189" t="s">
        <v>526</v>
      </c>
      <c r="O482" s="239"/>
      <c r="P482" s="344">
        <v>0</v>
      </c>
    </row>
    <row r="483" spans="2:16" s="25" customFormat="1" x14ac:dyDescent="0.2">
      <c r="B483" s="461" t="s">
        <v>608</v>
      </c>
      <c r="C483" s="461"/>
      <c r="D483" s="461"/>
      <c r="E483" s="461"/>
      <c r="F483" s="461"/>
      <c r="G483" s="153">
        <f>SUM(G478:G482)</f>
        <v>16000000</v>
      </c>
      <c r="H483" s="153">
        <f>SUM(H478:H482)</f>
        <v>14795000</v>
      </c>
      <c r="I483" s="153">
        <f>SUM(I478:I482)</f>
        <v>13790592.323000001</v>
      </c>
      <c r="J483" s="153">
        <f t="shared" ref="J483" si="167">SUM(J478:J482)</f>
        <v>0</v>
      </c>
      <c r="K483" s="153">
        <f>SUM(K478:K482)</f>
        <v>23090000</v>
      </c>
      <c r="L483" s="362">
        <f t="shared" si="166"/>
        <v>1.443125</v>
      </c>
      <c r="M483" s="184"/>
      <c r="N483" s="371">
        <f>'ر-فرعي'!K159</f>
        <v>15375481.875</v>
      </c>
      <c r="O483" s="240"/>
      <c r="P483" s="153">
        <f>SUM(P478:P481)</f>
        <v>2000000</v>
      </c>
    </row>
    <row r="484" spans="2:16" s="25" customFormat="1" x14ac:dyDescent="0.2">
      <c r="B484" s="509"/>
      <c r="C484" s="509"/>
      <c r="D484" s="509"/>
      <c r="E484" s="509"/>
      <c r="F484" s="509"/>
      <c r="G484" s="509"/>
      <c r="H484" s="509"/>
      <c r="I484" s="509"/>
      <c r="J484" s="509"/>
      <c r="K484" s="509"/>
      <c r="L484" s="509"/>
      <c r="M484" s="161"/>
      <c r="N484" s="154"/>
      <c r="O484" s="239"/>
      <c r="P484" s="341"/>
    </row>
    <row r="485" spans="2:16" s="25" customFormat="1" x14ac:dyDescent="0.2">
      <c r="B485" s="431" t="s">
        <v>609</v>
      </c>
      <c r="C485" s="431"/>
      <c r="D485" s="431"/>
      <c r="E485" s="431"/>
      <c r="F485" s="431"/>
      <c r="G485" s="431">
        <v>2019</v>
      </c>
      <c r="H485" s="431"/>
      <c r="I485" s="431"/>
      <c r="J485" s="431"/>
      <c r="K485" s="420">
        <v>2020</v>
      </c>
      <c r="L485" s="420"/>
      <c r="M485" s="117"/>
      <c r="N485" s="238"/>
      <c r="O485" s="239"/>
      <c r="P485" s="278">
        <v>2020</v>
      </c>
    </row>
    <row r="486" spans="2:16" s="25" customFormat="1" x14ac:dyDescent="0.2">
      <c r="B486" s="573" t="s">
        <v>411</v>
      </c>
      <c r="C486" s="574">
        <v>91</v>
      </c>
      <c r="D486" s="574">
        <v>11</v>
      </c>
      <c r="E486" s="17">
        <v>29301002</v>
      </c>
      <c r="F486" s="7" t="s">
        <v>591</v>
      </c>
      <c r="G486" s="355">
        <v>1000000</v>
      </c>
      <c r="H486" s="355">
        <v>1000000</v>
      </c>
      <c r="I486" s="355">
        <v>738348.18299999996</v>
      </c>
      <c r="J486" s="355">
        <v>261651.81700000001</v>
      </c>
      <c r="K486" s="137">
        <v>500000</v>
      </c>
      <c r="L486" s="362">
        <f>IFERROR(K486/G486,"")</f>
        <v>0.5</v>
      </c>
      <c r="M486" s="161"/>
      <c r="N486" s="188"/>
      <c r="O486" s="187"/>
      <c r="P486" s="305">
        <v>100000</v>
      </c>
    </row>
    <row r="487" spans="2:16" s="25" customFormat="1" x14ac:dyDescent="0.2">
      <c r="B487" s="573"/>
      <c r="C487" s="574"/>
      <c r="D487" s="574"/>
      <c r="E487" s="124">
        <v>29301005</v>
      </c>
      <c r="F487" s="66" t="s">
        <v>447</v>
      </c>
      <c r="G487" s="355">
        <v>100000</v>
      </c>
      <c r="H487" s="355">
        <v>150000</v>
      </c>
      <c r="I487" s="355">
        <v>130826.83500000001</v>
      </c>
      <c r="J487" s="355">
        <v>0</v>
      </c>
      <c r="K487" s="137"/>
      <c r="L487" s="362">
        <f>IFERROR(K487/G487,"")</f>
        <v>0</v>
      </c>
      <c r="M487" s="161"/>
      <c r="N487" s="188"/>
      <c r="O487" s="187"/>
      <c r="P487" s="119">
        <v>100000</v>
      </c>
    </row>
    <row r="488" spans="2:16" s="25" customFormat="1" x14ac:dyDescent="0.2">
      <c r="B488" s="573"/>
      <c r="C488" s="574"/>
      <c r="D488" s="574"/>
      <c r="E488" s="123"/>
      <c r="F488" s="55" t="s">
        <v>592</v>
      </c>
      <c r="G488" s="355"/>
      <c r="H488" s="355"/>
      <c r="I488" s="355"/>
      <c r="J488" s="355"/>
      <c r="K488" s="137">
        <v>1500000</v>
      </c>
      <c r="L488" s="362" t="str">
        <f>IFERROR(K488/G488,"")</f>
        <v/>
      </c>
      <c r="M488" s="161"/>
      <c r="N488" s="188"/>
      <c r="O488" s="187"/>
      <c r="P488" s="132"/>
    </row>
    <row r="489" spans="2:16" s="25" customFormat="1" x14ac:dyDescent="0.2">
      <c r="B489" s="573"/>
      <c r="C489" s="574"/>
      <c r="D489" s="574"/>
      <c r="E489" s="17">
        <v>29301019</v>
      </c>
      <c r="F489" s="7" t="s">
        <v>593</v>
      </c>
      <c r="G489" s="355">
        <v>1000000</v>
      </c>
      <c r="H489" s="355">
        <v>1000000</v>
      </c>
      <c r="I489" s="355">
        <v>736027.24600000004</v>
      </c>
      <c r="J489" s="355">
        <v>173983.74900000001</v>
      </c>
      <c r="K489" s="137">
        <v>400000</v>
      </c>
      <c r="L489" s="362">
        <f t="shared" ref="L489:L516" si="168">IFERROR(K489/G489,"")</f>
        <v>0.4</v>
      </c>
      <c r="M489" s="161"/>
      <c r="N489" s="188"/>
      <c r="O489" s="187"/>
      <c r="P489" s="305">
        <v>100000</v>
      </c>
    </row>
    <row r="490" spans="2:16" s="25" customFormat="1" x14ac:dyDescent="0.2">
      <c r="B490" s="573"/>
      <c r="C490" s="574"/>
      <c r="D490" s="574"/>
      <c r="E490" s="17">
        <v>29301021</v>
      </c>
      <c r="F490" s="7" t="s">
        <v>594</v>
      </c>
      <c r="G490" s="355">
        <v>1000000</v>
      </c>
      <c r="H490" s="355">
        <v>950000</v>
      </c>
      <c r="I490" s="355">
        <v>0</v>
      </c>
      <c r="J490" s="355">
        <v>0</v>
      </c>
      <c r="K490" s="137">
        <v>1000000</v>
      </c>
      <c r="L490" s="362">
        <f t="shared" si="168"/>
        <v>1</v>
      </c>
      <c r="M490" s="161"/>
      <c r="N490" s="188"/>
      <c r="O490" s="187"/>
      <c r="P490" s="305">
        <v>1000000</v>
      </c>
    </row>
    <row r="491" spans="2:16" s="25" customFormat="1" x14ac:dyDescent="0.2">
      <c r="B491" s="573"/>
      <c r="C491" s="574"/>
      <c r="D491" s="574"/>
      <c r="E491" s="29">
        <v>29301023</v>
      </c>
      <c r="F491" s="6" t="s">
        <v>458</v>
      </c>
      <c r="G491" s="355">
        <v>200000</v>
      </c>
      <c r="H491" s="355">
        <v>200000</v>
      </c>
      <c r="I491" s="355">
        <v>0</v>
      </c>
      <c r="J491" s="355">
        <v>0</v>
      </c>
      <c r="K491" s="137">
        <v>75000</v>
      </c>
      <c r="L491" s="362">
        <f t="shared" si="168"/>
        <v>0.375</v>
      </c>
      <c r="M491" s="161"/>
      <c r="N491" s="188"/>
      <c r="O491" s="187"/>
      <c r="P491" s="305">
        <v>200000</v>
      </c>
    </row>
    <row r="492" spans="2:16" s="25" customFormat="1" x14ac:dyDescent="0.2">
      <c r="B492" s="573"/>
      <c r="C492" s="574"/>
      <c r="D492" s="574"/>
      <c r="E492" s="120">
        <v>29301024</v>
      </c>
      <c r="F492" s="66" t="s">
        <v>459</v>
      </c>
      <c r="G492" s="355">
        <v>200000</v>
      </c>
      <c r="H492" s="355">
        <v>200000</v>
      </c>
      <c r="I492" s="355">
        <v>0</v>
      </c>
      <c r="J492" s="355">
        <v>0</v>
      </c>
      <c r="K492" s="137"/>
      <c r="L492" s="362">
        <f t="shared" si="168"/>
        <v>0</v>
      </c>
      <c r="M492" s="161"/>
      <c r="N492" s="188"/>
      <c r="O492" s="187"/>
      <c r="P492" s="119">
        <v>200000</v>
      </c>
    </row>
    <row r="493" spans="2:16" s="25" customFormat="1" x14ac:dyDescent="0.2">
      <c r="B493" s="573"/>
      <c r="C493" s="574"/>
      <c r="D493" s="574"/>
      <c r="E493" s="120">
        <v>29301025</v>
      </c>
      <c r="F493" s="66" t="s">
        <v>460</v>
      </c>
      <c r="G493" s="355">
        <v>200000</v>
      </c>
      <c r="H493" s="355">
        <v>200000</v>
      </c>
      <c r="I493" s="355">
        <v>0</v>
      </c>
      <c r="J493" s="355">
        <v>0</v>
      </c>
      <c r="K493" s="137"/>
      <c r="L493" s="362">
        <f t="shared" si="168"/>
        <v>0</v>
      </c>
      <c r="M493" s="161"/>
      <c r="N493" s="188"/>
      <c r="O493" s="187"/>
      <c r="P493" s="119">
        <v>200000</v>
      </c>
    </row>
    <row r="494" spans="2:16" s="25" customFormat="1" x14ac:dyDescent="0.2">
      <c r="B494" s="573"/>
      <c r="C494" s="574"/>
      <c r="D494" s="574"/>
      <c r="E494" s="29">
        <v>29301026</v>
      </c>
      <c r="F494" s="6" t="s">
        <v>461</v>
      </c>
      <c r="G494" s="355">
        <v>3900000</v>
      </c>
      <c r="H494" s="355">
        <v>3900000</v>
      </c>
      <c r="I494" s="355">
        <v>0</v>
      </c>
      <c r="J494" s="355">
        <v>0</v>
      </c>
      <c r="K494" s="137">
        <v>3000000</v>
      </c>
      <c r="L494" s="362">
        <f t="shared" si="168"/>
        <v>0.76923076923076927</v>
      </c>
      <c r="M494" s="161"/>
      <c r="N494" s="188"/>
      <c r="O494" s="187"/>
      <c r="P494" s="305">
        <v>3000000</v>
      </c>
    </row>
    <row r="495" spans="2:16" s="25" customFormat="1" x14ac:dyDescent="0.2">
      <c r="B495" s="573"/>
      <c r="C495" s="574"/>
      <c r="D495" s="574"/>
      <c r="E495" s="29">
        <v>29301027</v>
      </c>
      <c r="F495" s="6" t="s">
        <v>462</v>
      </c>
      <c r="G495" s="355">
        <v>200000</v>
      </c>
      <c r="H495" s="355">
        <v>200000</v>
      </c>
      <c r="I495" s="355">
        <v>0</v>
      </c>
      <c r="J495" s="355">
        <v>0</v>
      </c>
      <c r="K495" s="137">
        <v>180000</v>
      </c>
      <c r="L495" s="362">
        <f t="shared" si="168"/>
        <v>0.9</v>
      </c>
      <c r="M495" s="161"/>
      <c r="N495" s="188"/>
      <c r="O495" s="187"/>
      <c r="P495" s="305">
        <v>200000</v>
      </c>
    </row>
    <row r="496" spans="2:16" s="25" customFormat="1" x14ac:dyDescent="0.2">
      <c r="B496" s="573"/>
      <c r="C496" s="574"/>
      <c r="D496" s="574"/>
      <c r="E496" s="29">
        <v>29302001</v>
      </c>
      <c r="F496" s="6" t="s">
        <v>333</v>
      </c>
      <c r="G496" s="355">
        <v>100000</v>
      </c>
      <c r="H496" s="355">
        <v>100000</v>
      </c>
      <c r="I496" s="355">
        <v>0</v>
      </c>
      <c r="J496" s="355">
        <v>39800</v>
      </c>
      <c r="K496" s="137">
        <v>100000</v>
      </c>
      <c r="L496" s="362">
        <f t="shared" si="168"/>
        <v>1</v>
      </c>
      <c r="M496" s="161"/>
      <c r="N496" s="188"/>
      <c r="O496" s="187"/>
      <c r="P496" s="305">
        <v>100000</v>
      </c>
    </row>
    <row r="497" spans="2:16" s="25" customFormat="1" x14ac:dyDescent="0.2">
      <c r="B497" s="573"/>
      <c r="C497" s="574"/>
      <c r="D497" s="574"/>
      <c r="E497" s="29">
        <v>29302002</v>
      </c>
      <c r="F497" s="6" t="s">
        <v>334</v>
      </c>
      <c r="G497" s="355">
        <v>100000</v>
      </c>
      <c r="H497" s="355">
        <v>100000</v>
      </c>
      <c r="I497" s="355">
        <v>0</v>
      </c>
      <c r="J497" s="355">
        <v>0</v>
      </c>
      <c r="K497" s="137">
        <v>100000</v>
      </c>
      <c r="L497" s="362">
        <f t="shared" si="168"/>
        <v>1</v>
      </c>
      <c r="M497" s="161"/>
      <c r="N497" s="188"/>
      <c r="O497" s="187"/>
      <c r="P497" s="305">
        <v>100000</v>
      </c>
    </row>
    <row r="498" spans="2:16" s="25" customFormat="1" x14ac:dyDescent="0.2">
      <c r="B498" s="573"/>
      <c r="C498" s="574"/>
      <c r="D498" s="574"/>
      <c r="E498" s="29">
        <v>29302003</v>
      </c>
      <c r="F498" s="6" t="s">
        <v>335</v>
      </c>
      <c r="G498" s="355">
        <v>100000</v>
      </c>
      <c r="H498" s="355">
        <v>100000</v>
      </c>
      <c r="I498" s="355">
        <v>0</v>
      </c>
      <c r="J498" s="355">
        <v>0</v>
      </c>
      <c r="K498" s="137">
        <v>100000</v>
      </c>
      <c r="L498" s="362">
        <f t="shared" si="168"/>
        <v>1</v>
      </c>
      <c r="M498" s="161"/>
      <c r="N498" s="188"/>
      <c r="O498" s="187"/>
      <c r="P498" s="305">
        <v>100000</v>
      </c>
    </row>
    <row r="499" spans="2:16" s="25" customFormat="1" x14ac:dyDescent="0.2">
      <c r="B499" s="573"/>
      <c r="C499" s="574"/>
      <c r="D499" s="574"/>
      <c r="E499" s="29">
        <v>29302004</v>
      </c>
      <c r="F499" s="6" t="s">
        <v>336</v>
      </c>
      <c r="G499" s="355">
        <v>100000</v>
      </c>
      <c r="H499" s="355">
        <v>100000</v>
      </c>
      <c r="I499" s="355">
        <v>0</v>
      </c>
      <c r="J499" s="355">
        <v>0</v>
      </c>
      <c r="K499" s="137">
        <v>100000</v>
      </c>
      <c r="L499" s="362">
        <f t="shared" si="168"/>
        <v>1</v>
      </c>
      <c r="M499" s="161"/>
      <c r="N499" s="188"/>
      <c r="O499" s="187"/>
      <c r="P499" s="305">
        <v>100000</v>
      </c>
    </row>
    <row r="500" spans="2:16" s="25" customFormat="1" x14ac:dyDescent="0.2">
      <c r="B500" s="573"/>
      <c r="C500" s="574"/>
      <c r="D500" s="574"/>
      <c r="E500" s="29">
        <v>29302005</v>
      </c>
      <c r="F500" s="6" t="s">
        <v>469</v>
      </c>
      <c r="G500" s="355">
        <v>100000</v>
      </c>
      <c r="H500" s="355">
        <v>100000</v>
      </c>
      <c r="I500" s="355">
        <v>14528.2</v>
      </c>
      <c r="J500" s="355">
        <v>1</v>
      </c>
      <c r="K500" s="137">
        <v>100000</v>
      </c>
      <c r="L500" s="362">
        <f t="shared" si="168"/>
        <v>1</v>
      </c>
      <c r="M500" s="161"/>
      <c r="N500" s="188"/>
      <c r="O500" s="187"/>
      <c r="P500" s="305">
        <v>100000</v>
      </c>
    </row>
    <row r="501" spans="2:16" s="25" customFormat="1" x14ac:dyDescent="0.2">
      <c r="B501" s="573"/>
      <c r="C501" s="574"/>
      <c r="D501" s="574"/>
      <c r="E501" s="29">
        <v>29302006</v>
      </c>
      <c r="F501" s="6" t="s">
        <v>475</v>
      </c>
      <c r="G501" s="355">
        <v>2000000</v>
      </c>
      <c r="H501" s="355">
        <v>2000000</v>
      </c>
      <c r="I501" s="355">
        <v>0</v>
      </c>
      <c r="J501" s="355">
        <v>0</v>
      </c>
      <c r="K501" s="137">
        <v>1000000</v>
      </c>
      <c r="L501" s="362">
        <f t="shared" si="168"/>
        <v>0.5</v>
      </c>
      <c r="M501" s="161"/>
      <c r="N501" s="188"/>
      <c r="O501" s="187"/>
      <c r="P501" s="305">
        <v>2000000</v>
      </c>
    </row>
    <row r="502" spans="2:16" s="25" customFormat="1" x14ac:dyDescent="0.2">
      <c r="B502" s="573"/>
      <c r="C502" s="574"/>
      <c r="D502" s="574"/>
      <c r="E502" s="29">
        <v>29302007</v>
      </c>
      <c r="F502" s="65" t="s">
        <v>595</v>
      </c>
      <c r="G502" s="355">
        <v>200000</v>
      </c>
      <c r="H502" s="355">
        <v>200000</v>
      </c>
      <c r="I502" s="355">
        <v>0</v>
      </c>
      <c r="J502" s="355">
        <v>0</v>
      </c>
      <c r="K502" s="137">
        <v>200000</v>
      </c>
      <c r="L502" s="362">
        <f t="shared" si="168"/>
        <v>1</v>
      </c>
      <c r="M502" s="161"/>
      <c r="N502" s="188"/>
      <c r="O502" s="187"/>
      <c r="P502" s="305">
        <v>200000</v>
      </c>
    </row>
    <row r="503" spans="2:16" s="25" customFormat="1" x14ac:dyDescent="0.2">
      <c r="B503" s="573"/>
      <c r="C503" s="574"/>
      <c r="D503" s="574"/>
      <c r="E503" s="121"/>
      <c r="F503" s="55" t="s">
        <v>564</v>
      </c>
      <c r="G503" s="355"/>
      <c r="H503" s="355"/>
      <c r="I503" s="355"/>
      <c r="J503" s="355"/>
      <c r="K503" s="137">
        <v>75000</v>
      </c>
      <c r="L503" s="362" t="str">
        <f t="shared" si="168"/>
        <v/>
      </c>
      <c r="M503" s="161"/>
      <c r="N503" s="188"/>
      <c r="O503" s="187"/>
      <c r="P503" s="132"/>
    </row>
    <row r="504" spans="2:16" s="25" customFormat="1" x14ac:dyDescent="0.2">
      <c r="B504" s="573"/>
      <c r="C504" s="574"/>
      <c r="D504" s="574"/>
      <c r="E504" s="121"/>
      <c r="F504" s="55" t="s">
        <v>596</v>
      </c>
      <c r="G504" s="355"/>
      <c r="H504" s="355"/>
      <c r="I504" s="355"/>
      <c r="J504" s="355"/>
      <c r="K504" s="137">
        <v>70000</v>
      </c>
      <c r="L504" s="362" t="str">
        <f t="shared" si="168"/>
        <v/>
      </c>
      <c r="M504" s="161"/>
      <c r="N504" s="188"/>
      <c r="O504" s="187"/>
      <c r="P504" s="132">
        <v>150000</v>
      </c>
    </row>
    <row r="505" spans="2:16" s="25" customFormat="1" x14ac:dyDescent="0.2">
      <c r="B505" s="567" t="s">
        <v>610</v>
      </c>
      <c r="C505" s="567"/>
      <c r="D505" s="567"/>
      <c r="E505" s="567"/>
      <c r="F505" s="567"/>
      <c r="G505" s="136">
        <f>SUM(G486:G504)</f>
        <v>10500000</v>
      </c>
      <c r="H505" s="136">
        <f t="shared" ref="H505:J505" si="169">SUM(H486:H504)</f>
        <v>10500000</v>
      </c>
      <c r="I505" s="136">
        <f t="shared" si="169"/>
        <v>1619730.4639999999</v>
      </c>
      <c r="J505" s="136">
        <f t="shared" si="169"/>
        <v>475436.56599999999</v>
      </c>
      <c r="K505" s="136">
        <f>SUM(K486:K504)</f>
        <v>8500000</v>
      </c>
      <c r="L505" s="362">
        <f t="shared" si="168"/>
        <v>0.80952380952380953</v>
      </c>
      <c r="M505" s="184"/>
      <c r="N505" s="188"/>
      <c r="O505" s="187"/>
      <c r="P505" s="136">
        <f>SUM(P486:P504)</f>
        <v>7950000</v>
      </c>
    </row>
    <row r="506" spans="2:16" s="25" customFormat="1" x14ac:dyDescent="0.2">
      <c r="B506" s="570" t="s">
        <v>472</v>
      </c>
      <c r="C506" s="569">
        <v>91</v>
      </c>
      <c r="D506" s="569">
        <v>17</v>
      </c>
      <c r="E506" s="123"/>
      <c r="F506" s="262" t="s">
        <v>612</v>
      </c>
      <c r="G506" s="355"/>
      <c r="H506" s="355"/>
      <c r="I506" s="355"/>
      <c r="J506" s="355"/>
      <c r="K506" s="137">
        <v>10000</v>
      </c>
      <c r="L506" s="362" t="str">
        <f t="shared" si="168"/>
        <v/>
      </c>
      <c r="M506" s="117"/>
      <c r="N506" s="188"/>
      <c r="O506" s="187"/>
      <c r="P506" s="305"/>
    </row>
    <row r="507" spans="2:16" s="25" customFormat="1" x14ac:dyDescent="0.2">
      <c r="B507" s="570"/>
      <c r="C507" s="569"/>
      <c r="D507" s="569"/>
      <c r="E507" s="17"/>
      <c r="F507" s="4" t="s">
        <v>566</v>
      </c>
      <c r="G507" s="355">
        <v>25000</v>
      </c>
      <c r="H507" s="355">
        <v>25000</v>
      </c>
      <c r="I507" s="355">
        <v>15320</v>
      </c>
      <c r="J507" s="355">
        <v>0</v>
      </c>
      <c r="K507" s="137">
        <v>15000</v>
      </c>
      <c r="L507" s="362">
        <f t="shared" si="168"/>
        <v>0.6</v>
      </c>
      <c r="M507" s="161"/>
      <c r="N507" s="188"/>
      <c r="O507" s="187"/>
      <c r="P507" s="305">
        <v>25000</v>
      </c>
    </row>
    <row r="508" spans="2:16" s="25" customFormat="1" x14ac:dyDescent="0.2">
      <c r="B508" s="570"/>
      <c r="C508" s="569"/>
      <c r="D508" s="569"/>
      <c r="E508" s="17"/>
      <c r="F508" s="4" t="s">
        <v>567</v>
      </c>
      <c r="G508" s="355">
        <v>100000</v>
      </c>
      <c r="H508" s="355">
        <v>100000</v>
      </c>
      <c r="I508" s="355">
        <v>85006</v>
      </c>
      <c r="J508" s="355">
        <v>0</v>
      </c>
      <c r="K508" s="137">
        <v>100000</v>
      </c>
      <c r="L508" s="362">
        <f t="shared" si="168"/>
        <v>1</v>
      </c>
      <c r="M508" s="161"/>
      <c r="N508" s="188"/>
      <c r="O508" s="187"/>
      <c r="P508" s="305">
        <v>100000</v>
      </c>
    </row>
    <row r="509" spans="2:16" s="25" customFormat="1" x14ac:dyDescent="0.2">
      <c r="B509" s="570"/>
      <c r="C509" s="569"/>
      <c r="D509" s="569"/>
      <c r="E509" s="17"/>
      <c r="F509" s="4" t="s">
        <v>568</v>
      </c>
      <c r="G509" s="571">
        <v>850000</v>
      </c>
      <c r="H509" s="572">
        <v>1265000</v>
      </c>
      <c r="I509" s="355">
        <v>39456</v>
      </c>
      <c r="J509" s="355">
        <v>0</v>
      </c>
      <c r="K509" s="137">
        <v>50000</v>
      </c>
      <c r="L509" s="362">
        <f t="shared" si="168"/>
        <v>5.8823529411764705E-2</v>
      </c>
      <c r="M509" s="161"/>
      <c r="N509" s="188"/>
      <c r="O509" s="187"/>
      <c r="P509" s="305">
        <v>1200000</v>
      </c>
    </row>
    <row r="510" spans="2:16" s="25" customFormat="1" x14ac:dyDescent="0.2">
      <c r="B510" s="570"/>
      <c r="C510" s="569"/>
      <c r="D510" s="569"/>
      <c r="E510" s="123"/>
      <c r="F510" s="262" t="s">
        <v>569</v>
      </c>
      <c r="G510" s="571"/>
      <c r="H510" s="572"/>
      <c r="I510" s="355">
        <v>1217849.1000000001</v>
      </c>
      <c r="J510" s="355"/>
      <c r="K510" s="137">
        <v>1160000</v>
      </c>
      <c r="L510" s="362" t="str">
        <f t="shared" si="168"/>
        <v/>
      </c>
      <c r="M510" s="161"/>
      <c r="N510" s="188"/>
      <c r="O510" s="187"/>
      <c r="P510" s="305"/>
    </row>
    <row r="511" spans="2:16" s="25" customFormat="1" x14ac:dyDescent="0.2">
      <c r="B511" s="570"/>
      <c r="C511" s="569"/>
      <c r="D511" s="569"/>
      <c r="E511" s="17"/>
      <c r="F511" s="4" t="s">
        <v>570</v>
      </c>
      <c r="G511" s="571">
        <v>45000</v>
      </c>
      <c r="H511" s="571">
        <v>45000</v>
      </c>
      <c r="I511" s="355">
        <v>16012.800000000001</v>
      </c>
      <c r="J511" s="355">
        <v>0</v>
      </c>
      <c r="K511" s="137">
        <v>20000</v>
      </c>
      <c r="L511" s="362">
        <f t="shared" si="168"/>
        <v>0.44444444444444442</v>
      </c>
      <c r="M511" s="161"/>
      <c r="N511" s="188"/>
      <c r="O511" s="187"/>
      <c r="P511" s="305">
        <v>45000</v>
      </c>
    </row>
    <row r="512" spans="2:16" s="25" customFormat="1" x14ac:dyDescent="0.2">
      <c r="B512" s="570"/>
      <c r="C512" s="569"/>
      <c r="D512" s="569"/>
      <c r="E512" s="123"/>
      <c r="F512" s="262" t="s">
        <v>571</v>
      </c>
      <c r="G512" s="571"/>
      <c r="H512" s="571"/>
      <c r="I512" s="355">
        <v>22186.499999999993</v>
      </c>
      <c r="J512" s="355"/>
      <c r="K512" s="137">
        <v>25000</v>
      </c>
      <c r="L512" s="362" t="str">
        <f t="shared" si="168"/>
        <v/>
      </c>
      <c r="M512" s="161"/>
      <c r="N512" s="188"/>
      <c r="O512" s="187"/>
      <c r="P512" s="305"/>
    </row>
    <row r="513" spans="2:16" s="25" customFormat="1" x14ac:dyDescent="0.2">
      <c r="B513" s="570"/>
      <c r="C513" s="569"/>
      <c r="D513" s="569"/>
      <c r="E513" s="17"/>
      <c r="F513" s="4" t="s">
        <v>572</v>
      </c>
      <c r="G513" s="571">
        <v>100000</v>
      </c>
      <c r="H513" s="571">
        <v>108000</v>
      </c>
      <c r="I513" s="355">
        <v>92311.3</v>
      </c>
      <c r="J513" s="355">
        <v>0</v>
      </c>
      <c r="K513" s="137">
        <v>100000</v>
      </c>
      <c r="L513" s="362">
        <f t="shared" si="168"/>
        <v>1</v>
      </c>
      <c r="M513" s="161"/>
      <c r="N513" s="188"/>
      <c r="O513" s="187"/>
      <c r="P513" s="305">
        <v>120000</v>
      </c>
    </row>
    <row r="514" spans="2:16" s="25" customFormat="1" x14ac:dyDescent="0.2">
      <c r="B514" s="570"/>
      <c r="C514" s="569"/>
      <c r="D514" s="569"/>
      <c r="E514" s="123"/>
      <c r="F514" s="262" t="s">
        <v>573</v>
      </c>
      <c r="G514" s="571"/>
      <c r="H514" s="571"/>
      <c r="I514" s="355">
        <v>15245</v>
      </c>
      <c r="J514" s="355"/>
      <c r="K514" s="137">
        <v>20000</v>
      </c>
      <c r="L514" s="362" t="str">
        <f t="shared" si="168"/>
        <v/>
      </c>
      <c r="M514" s="161"/>
      <c r="N514" s="188"/>
      <c r="O514" s="187"/>
      <c r="P514" s="305"/>
    </row>
    <row r="515" spans="2:16" s="25" customFormat="1" x14ac:dyDescent="0.2">
      <c r="B515" s="567" t="s">
        <v>661</v>
      </c>
      <c r="C515" s="567"/>
      <c r="D515" s="567"/>
      <c r="E515" s="567"/>
      <c r="F515" s="567"/>
      <c r="G515" s="136">
        <f t="shared" ref="G515:J515" si="170">SUM(G506:G514)</f>
        <v>1120000</v>
      </c>
      <c r="H515" s="136">
        <f t="shared" si="170"/>
        <v>1543000</v>
      </c>
      <c r="I515" s="136">
        <f>SUM(I506:I514)</f>
        <v>1503386.7000000002</v>
      </c>
      <c r="J515" s="136">
        <f t="shared" si="170"/>
        <v>0</v>
      </c>
      <c r="K515" s="136">
        <f>SUM(K506:K514)</f>
        <v>1500000</v>
      </c>
      <c r="L515" s="362">
        <f t="shared" si="168"/>
        <v>1.3392857142857142</v>
      </c>
      <c r="M515" s="184"/>
      <c r="N515" s="188"/>
      <c r="O515" s="245"/>
      <c r="P515" s="136">
        <f>SUM(P506:P514)</f>
        <v>1490000</v>
      </c>
    </row>
    <row r="516" spans="2:16" s="25" customFormat="1" x14ac:dyDescent="0.2">
      <c r="B516" s="540" t="s">
        <v>658</v>
      </c>
      <c r="C516" s="540"/>
      <c r="D516" s="540"/>
      <c r="E516" s="540"/>
      <c r="F516" s="540"/>
      <c r="G516" s="135">
        <f>G505+G515</f>
        <v>11620000</v>
      </c>
      <c r="H516" s="135">
        <f>H505+H515</f>
        <v>12043000</v>
      </c>
      <c r="I516" s="135">
        <f>I505+I515</f>
        <v>3123117.1639999999</v>
      </c>
      <c r="J516" s="135">
        <f>J505+J515</f>
        <v>475436.56599999999</v>
      </c>
      <c r="K516" s="135">
        <f>K505+K515</f>
        <v>10000000</v>
      </c>
      <c r="L516" s="362">
        <f t="shared" si="168"/>
        <v>0.86058519793459554</v>
      </c>
      <c r="M516" s="184"/>
      <c r="N516" s="188"/>
      <c r="O516" s="237"/>
      <c r="P516" s="135">
        <f>P505+P515</f>
        <v>9440000</v>
      </c>
    </row>
    <row r="517" spans="2:16" s="25" customFormat="1" x14ac:dyDescent="0.2">
      <c r="B517" s="509"/>
      <c r="C517" s="509"/>
      <c r="D517" s="509"/>
      <c r="E517" s="509"/>
      <c r="F517" s="509"/>
      <c r="G517" s="509"/>
      <c r="H517" s="509"/>
      <c r="I517" s="509"/>
      <c r="J517" s="509"/>
      <c r="K517" s="509"/>
      <c r="L517" s="509"/>
      <c r="M517" s="161"/>
      <c r="N517" s="188"/>
      <c r="O517" s="187"/>
      <c r="P517" s="341"/>
    </row>
    <row r="518" spans="2:16" s="25" customFormat="1" x14ac:dyDescent="0.2">
      <c r="B518" s="431" t="s">
        <v>586</v>
      </c>
      <c r="C518" s="431"/>
      <c r="D518" s="431"/>
      <c r="E518" s="431"/>
      <c r="F518" s="431"/>
      <c r="G518" s="431">
        <v>2019</v>
      </c>
      <c r="H518" s="431"/>
      <c r="I518" s="431"/>
      <c r="J518" s="431"/>
      <c r="K518" s="420">
        <v>2020</v>
      </c>
      <c r="L518" s="420"/>
      <c r="M518" s="117"/>
      <c r="N518" s="188"/>
      <c r="O518" s="187"/>
      <c r="P518" s="278">
        <v>2020</v>
      </c>
    </row>
    <row r="519" spans="2:16" s="25" customFormat="1" x14ac:dyDescent="0.2">
      <c r="B519" s="564" t="s">
        <v>585</v>
      </c>
      <c r="C519" s="564"/>
      <c r="D519" s="564"/>
      <c r="E519" s="564"/>
      <c r="F519" s="564"/>
      <c r="G519" s="355">
        <f>G8+G15++G25+G29+G35+G41+G50+G58+G63+G68+G78+G87+G97+G104+G113+G119+G128+G134+G144+G150+G160+G167+G194+G207+G220+G226+G229+G233+G236+G240+G248+G252+G256+G260+G274+G284+G288+G307+G325+G343+G357+G362+G366+G370+G375+G381+G386+G391+G404+G416+G423+G440+G462+G469+G466+G156</f>
        <v>30240863</v>
      </c>
      <c r="H519" s="355">
        <f>H8+H15++H25+H29+H35+H41+H50+H58+H63+H68+H78+H87+H97+H104+H113+H119+H128+H134+H144+H150+H160+H167+H194+H207+H220+H226+H229+H233+H236+H240+H248+H252+H256+H260+H274+H284+H288+H307+H325+H343+H357+H362+H366+H370+H375+H381+H386+H391+H404+H416+H423+H440+H462+H469+H466+H156</f>
        <v>31022863</v>
      </c>
      <c r="I519" s="355">
        <f>I8+I15++I25+I29+I35+I41+I50+I58+I63+I68+I78+I87+I97+I104+I113+I119+I128+I134+I144+I150+I160+I167+I194+I207+I220+I226+I229+I233+I236+I240+I248+I252+I256+I260+I274+I284+I288+I307+I325+I343+I357+I362+I366+I370+I375+I381+I386+I391+I404+I416+I423+I440+I462+I469+I466+I156</f>
        <v>28171808.677999999</v>
      </c>
      <c r="J519" s="355">
        <f>J8+J15++J25+J29+J35+J41+J50+J58+J63+J68+J78+J87+J97+J104+J113+J119+J128+J134+J144+J150+J160+J167+J194+J207+J220+J226+J229+J233+J236+J240+J248+J252+J256+J260+J274+J284+J288+J307+J325+J343+J357+J362+J366+J370+J375+J381+J386+J391+J404+J416+J423+J440+J462+J469+J466+J156</f>
        <v>1018108.5660000001</v>
      </c>
      <c r="K519" s="355">
        <f>K8+K15++K25+K29+K35+K41+K50+K58+K63+K68+K78+K87+K97+K104+K113+K119+K128+K134+K144+K150+K160+K167+K194+K207+K220+K226+K229+K233+K236+K240+K248+K252+K256+K260+K274+K284+K288+K307+K325+K343+K357+K362+K366+K370+K375+K381+K386+K391+K404+K416+K423+K440+K462+K469+K466+K156</f>
        <v>31092000</v>
      </c>
      <c r="L519" s="363">
        <f t="shared" ref="L519:L526" si="171">IFERROR(K519/G519,"")</f>
        <v>1.0281452615952131</v>
      </c>
      <c r="M519" s="185"/>
      <c r="N519" s="188"/>
      <c r="O519" s="187"/>
      <c r="P519" s="305">
        <f>P8+P15++P25+P29+P35+P41+P50+P58+P63+P68+P78+P87+P97+P104+P113+P119+P128+P134+P144+P150+P160+P167+P194+P207+P220+P226+P229+P233+P236+P240+P248+P252+P256+P260+P274+P284+P288+P307+P325+P343+P357+P362+P366+P370+P375+P381+P386+P391+P404+P416+P423+P440+P462+P469+P466+P156</f>
        <v>18852783</v>
      </c>
    </row>
    <row r="520" spans="2:16" s="25" customFormat="1" x14ac:dyDescent="0.2">
      <c r="B520" s="565" t="s">
        <v>584</v>
      </c>
      <c r="C520" s="565"/>
      <c r="D520" s="565"/>
      <c r="E520" s="565"/>
      <c r="F520" s="565"/>
      <c r="G520" s="356">
        <f>G17+G31+G43+G52+G70+G81+G90+G108+G123+G138+G152+G163+G178+G222+G244+G291+G471+G276+G408</f>
        <v>1891137</v>
      </c>
      <c r="H520" s="356">
        <f>H17+H31+H43+H52+H70+H81+H90+H108+H123+H138+H152+H163+H178+H222+H244+H291+H471+H276+H408</f>
        <v>1891137</v>
      </c>
      <c r="I520" s="356">
        <f>I17+I31+I43+I52+I70+I81+I90+I108+I123+I138+I152+I163+I178+I222+I244+I291+I471+I276+I408</f>
        <v>1322014.7220000001</v>
      </c>
      <c r="J520" s="356">
        <f>J17+J31+J43+J52+J70+J81+J90+J108+J123+J138+J152+J163+J178+J222+J244+J291+J471+J276+J408</f>
        <v>505450.39499999996</v>
      </c>
      <c r="K520" s="356">
        <f>K17+K31+K43+K52+K70+K81+K90+K108+K123+K138+K152+K163+K178+K222+K244+K291+K471+K276+K408</f>
        <v>2128500</v>
      </c>
      <c r="L520" s="363">
        <f t="shared" si="171"/>
        <v>1.1255133816323195</v>
      </c>
      <c r="M520" s="185"/>
      <c r="N520" s="188"/>
      <c r="O520" s="187"/>
      <c r="P520" s="306">
        <f>P17+P31+P43+P52+P70+P81+P90+P108+P123+P138+P152+P163+P178+P222+P244+P291+P471+P276+P408</f>
        <v>3525000</v>
      </c>
    </row>
    <row r="521" spans="2:16" s="25" customFormat="1" x14ac:dyDescent="0.2">
      <c r="B521" s="563" t="s">
        <v>583</v>
      </c>
      <c r="C521" s="563"/>
      <c r="D521" s="563"/>
      <c r="E521" s="563"/>
      <c r="F521" s="563"/>
      <c r="G521" s="356">
        <f>G263</f>
        <v>410000</v>
      </c>
      <c r="H521" s="356">
        <f>H263</f>
        <v>410000</v>
      </c>
      <c r="I521" s="356">
        <f>I263</f>
        <v>295303.71399999998</v>
      </c>
      <c r="J521" s="356">
        <f>J263</f>
        <v>0</v>
      </c>
      <c r="K521" s="356">
        <f>K263</f>
        <v>310000</v>
      </c>
      <c r="L521" s="363">
        <f t="shared" si="171"/>
        <v>0.75609756097560976</v>
      </c>
      <c r="M521" s="185"/>
      <c r="N521" s="188"/>
      <c r="O521" s="187"/>
      <c r="P521" s="306">
        <f>P263</f>
        <v>310000</v>
      </c>
    </row>
    <row r="522" spans="2:16" s="25" customFormat="1" x14ac:dyDescent="0.2">
      <c r="B522" s="566" t="s">
        <v>582</v>
      </c>
      <c r="C522" s="566"/>
      <c r="D522" s="566"/>
      <c r="E522" s="566"/>
      <c r="F522" s="566"/>
      <c r="G522" s="356">
        <f>G21+G46+G99+G198+G214+G266+G279+G293+G318+G333+G352+G383+G394+G473+G72+G92+G140</f>
        <v>3838000</v>
      </c>
      <c r="H522" s="356">
        <f>H21+H46+H99+H198+H214+H266+H279+H293+H318+H333+H352+H383+H394+H473+H72+H92+H140</f>
        <v>3838000</v>
      </c>
      <c r="I522" s="356">
        <f>I21+I46+I99+I198+I214+I266+I279+I293+I318+I333+I352+I383+I394+I473+I72+I92+I140</f>
        <v>866403.81400000001</v>
      </c>
      <c r="J522" s="356">
        <f>J21+J46+J99+J198+J214+J266+J279+J293+J318+J333+J352+J383+J394+J473+J72+J92+J140</f>
        <v>786795.99</v>
      </c>
      <c r="K522" s="356">
        <f>K21+K46+K99+K198+K214+K266+K279+K293+K318+K333+K352+K383+K394+K473+K72+K92+K140</f>
        <v>2193500</v>
      </c>
      <c r="L522" s="363">
        <f t="shared" si="171"/>
        <v>0.57152162584679522</v>
      </c>
      <c r="M522" s="185"/>
      <c r="N522" s="188"/>
      <c r="O522" s="187"/>
      <c r="P522" s="306">
        <f>P21+P46+P99+P198+P214+P266+P279+P293+P318+P333+P352+P383+P394+P473+P72+P92+P140</f>
        <v>2584500</v>
      </c>
    </row>
    <row r="523" spans="2:16" s="25" customFormat="1" x14ac:dyDescent="0.2">
      <c r="B523" s="562" t="s">
        <v>607</v>
      </c>
      <c r="C523" s="562"/>
      <c r="D523" s="562"/>
      <c r="E523" s="562"/>
      <c r="F523" s="562"/>
      <c r="G523" s="355">
        <f>SUM(G519:G522)</f>
        <v>36380000</v>
      </c>
      <c r="H523" s="355">
        <f t="shared" ref="H523:J523" si="172">SUM(H519:H522)</f>
        <v>37162000</v>
      </c>
      <c r="I523" s="355">
        <f t="shared" si="172"/>
        <v>30655530.927999999</v>
      </c>
      <c r="J523" s="355">
        <f t="shared" si="172"/>
        <v>2310354.9510000004</v>
      </c>
      <c r="K523" s="355">
        <f t="shared" ref="K523" si="173">SUM(K519:K522)</f>
        <v>35724000</v>
      </c>
      <c r="L523" s="363">
        <f t="shared" si="171"/>
        <v>0.98196811434854314</v>
      </c>
      <c r="M523" s="184"/>
      <c r="N523" s="188"/>
      <c r="O523" s="187"/>
      <c r="P523" s="305">
        <f>SUM(P519:P522)</f>
        <v>25272283</v>
      </c>
    </row>
    <row r="524" spans="2:16" s="25" customFormat="1" x14ac:dyDescent="0.2">
      <c r="B524" s="461" t="s">
        <v>608</v>
      </c>
      <c r="C524" s="461"/>
      <c r="D524" s="461"/>
      <c r="E524" s="461"/>
      <c r="F524" s="461"/>
      <c r="G524" s="356">
        <f>G483</f>
        <v>16000000</v>
      </c>
      <c r="H524" s="356">
        <f>H483</f>
        <v>14795000</v>
      </c>
      <c r="I524" s="356">
        <f>I483</f>
        <v>13790592.323000001</v>
      </c>
      <c r="J524" s="356">
        <f>J483</f>
        <v>0</v>
      </c>
      <c r="K524" s="356">
        <f>K483</f>
        <v>23090000</v>
      </c>
      <c r="L524" s="363">
        <f t="shared" si="171"/>
        <v>1.443125</v>
      </c>
      <c r="M524" s="185"/>
      <c r="N524" s="335"/>
      <c r="O524" s="187"/>
      <c r="P524" s="306">
        <f>P483</f>
        <v>2000000</v>
      </c>
    </row>
    <row r="525" spans="2:16" s="25" customFormat="1" x14ac:dyDescent="0.2">
      <c r="B525" s="540" t="s">
        <v>682</v>
      </c>
      <c r="C525" s="540"/>
      <c r="D525" s="540"/>
      <c r="E525" s="540"/>
      <c r="F525" s="540"/>
      <c r="G525" s="355">
        <f>G505</f>
        <v>10500000</v>
      </c>
      <c r="H525" s="355">
        <f t="shared" ref="H525:K525" si="174">H505</f>
        <v>10500000</v>
      </c>
      <c r="I525" s="355">
        <f t="shared" si="174"/>
        <v>1619730.4639999999</v>
      </c>
      <c r="J525" s="355">
        <f t="shared" si="174"/>
        <v>475436.56599999999</v>
      </c>
      <c r="K525" s="355">
        <f t="shared" si="174"/>
        <v>8500000</v>
      </c>
      <c r="L525" s="363">
        <f t="shared" si="171"/>
        <v>0.80952380952380953</v>
      </c>
      <c r="M525" s="185"/>
      <c r="N525" s="335"/>
      <c r="O525" s="187"/>
      <c r="P525" s="358"/>
    </row>
    <row r="526" spans="2:16" s="25" customFormat="1" ht="15" thickBot="1" x14ac:dyDescent="0.25">
      <c r="B526" s="540" t="s">
        <v>683</v>
      </c>
      <c r="C526" s="540"/>
      <c r="D526" s="540"/>
      <c r="E526" s="540"/>
      <c r="F526" s="540"/>
      <c r="G526" s="355">
        <f>G515</f>
        <v>1120000</v>
      </c>
      <c r="H526" s="355">
        <f t="shared" ref="H526:K526" si="175">H515</f>
        <v>1543000</v>
      </c>
      <c r="I526" s="355">
        <f t="shared" si="175"/>
        <v>1503386.7000000002</v>
      </c>
      <c r="J526" s="355">
        <f t="shared" si="175"/>
        <v>0</v>
      </c>
      <c r="K526" s="355">
        <f t="shared" si="175"/>
        <v>1500000</v>
      </c>
      <c r="L526" s="363">
        <f t="shared" si="171"/>
        <v>1.3392857142857142</v>
      </c>
      <c r="M526" s="186"/>
      <c r="N526" s="188"/>
      <c r="O526" s="187"/>
      <c r="P526" s="246">
        <f>P516</f>
        <v>9440000</v>
      </c>
    </row>
    <row r="527" spans="2:16" s="46" customFormat="1" x14ac:dyDescent="0.2">
      <c r="B527" s="160"/>
      <c r="C527" s="115"/>
      <c r="D527" s="115"/>
      <c r="E527" s="158"/>
      <c r="F527" s="115"/>
      <c r="G527" s="21"/>
      <c r="H527" s="21"/>
      <c r="I527" s="21"/>
      <c r="J527" s="21"/>
      <c r="K527" s="21"/>
      <c r="L527" s="21"/>
      <c r="M527" s="186"/>
      <c r="N527" s="48"/>
      <c r="O527" s="187"/>
      <c r="P527" s="21"/>
    </row>
    <row r="528" spans="2:16" x14ac:dyDescent="0.2">
      <c r="G528" s="228">
        <f>SUM(G523:G526)</f>
        <v>64000000</v>
      </c>
      <c r="H528" s="228">
        <f t="shared" ref="H528:K528" si="176">SUM(H523:H526)</f>
        <v>64000000</v>
      </c>
      <c r="I528" s="228">
        <f t="shared" si="176"/>
        <v>47569240.415000007</v>
      </c>
      <c r="J528" s="228">
        <f t="shared" si="176"/>
        <v>2785791.5170000005</v>
      </c>
      <c r="K528" s="228">
        <f t="shared" si="176"/>
        <v>68814000</v>
      </c>
      <c r="P528" s="228">
        <f>P523+P524+P526</f>
        <v>36712283</v>
      </c>
    </row>
  </sheetData>
  <mergeCells count="363">
    <mergeCell ref="K485:L485"/>
    <mergeCell ref="K477:L477"/>
    <mergeCell ref="B484:L484"/>
    <mergeCell ref="B476:L476"/>
    <mergeCell ref="D506:D514"/>
    <mergeCell ref="C506:C514"/>
    <mergeCell ref="B506:B514"/>
    <mergeCell ref="B477:F477"/>
    <mergeCell ref="G477:J477"/>
    <mergeCell ref="B505:F505"/>
    <mergeCell ref="G509:G510"/>
    <mergeCell ref="H509:H510"/>
    <mergeCell ref="G511:G512"/>
    <mergeCell ref="H511:H512"/>
    <mergeCell ref="H513:H514"/>
    <mergeCell ref="G513:G514"/>
    <mergeCell ref="B486:B504"/>
    <mergeCell ref="C486:C504"/>
    <mergeCell ref="D486:D504"/>
    <mergeCell ref="B478:B482"/>
    <mergeCell ref="C478:C482"/>
    <mergeCell ref="D478:D482"/>
    <mergeCell ref="G485:J485"/>
    <mergeCell ref="D110:D113"/>
    <mergeCell ref="E113:F113"/>
    <mergeCell ref="B101:B108"/>
    <mergeCell ref="B110:B113"/>
    <mergeCell ref="B115:B123"/>
    <mergeCell ref="B94:B99"/>
    <mergeCell ref="E87:F87"/>
    <mergeCell ref="E90:F90"/>
    <mergeCell ref="E99:F99"/>
    <mergeCell ref="E97:F97"/>
    <mergeCell ref="B93:F93"/>
    <mergeCell ref="B109:F109"/>
    <mergeCell ref="B114:F114"/>
    <mergeCell ref="D101:D108"/>
    <mergeCell ref="B83:B92"/>
    <mergeCell ref="C83:C92"/>
    <mergeCell ref="D83:D92"/>
    <mergeCell ref="E92:F92"/>
    <mergeCell ref="C115:C123"/>
    <mergeCell ref="D115:D123"/>
    <mergeCell ref="E119:F119"/>
    <mergeCell ref="C94:C99"/>
    <mergeCell ref="E123:F123"/>
    <mergeCell ref="D94:D99"/>
    <mergeCell ref="B124:F124"/>
    <mergeCell ref="B129:F129"/>
    <mergeCell ref="C110:C113"/>
    <mergeCell ref="B526:F526"/>
    <mergeCell ref="B521:F521"/>
    <mergeCell ref="B519:F519"/>
    <mergeCell ref="B520:F520"/>
    <mergeCell ref="B524:F524"/>
    <mergeCell ref="B523:F523"/>
    <mergeCell ref="B522:F522"/>
    <mergeCell ref="B515:F515"/>
    <mergeCell ref="B518:F518"/>
    <mergeCell ref="B516:F516"/>
    <mergeCell ref="B517:L517"/>
    <mergeCell ref="K518:L518"/>
    <mergeCell ref="E469:F469"/>
    <mergeCell ref="D464:D466"/>
    <mergeCell ref="D425:D440"/>
    <mergeCell ref="B377:B383"/>
    <mergeCell ref="B410:B416"/>
    <mergeCell ref="B485:F485"/>
    <mergeCell ref="C410:C416"/>
    <mergeCell ref="D410:D416"/>
    <mergeCell ref="E416:F416"/>
    <mergeCell ref="B280:F280"/>
    <mergeCell ref="B424:F424"/>
    <mergeCell ref="B441:F441"/>
    <mergeCell ref="B418:B423"/>
    <mergeCell ref="C418:C423"/>
    <mergeCell ref="D418:D423"/>
    <mergeCell ref="E423:F423"/>
    <mergeCell ref="C425:C440"/>
    <mergeCell ref="E440:F440"/>
    <mergeCell ref="B425:B440"/>
    <mergeCell ref="B417:F417"/>
    <mergeCell ref="B409:F409"/>
    <mergeCell ref="C385:C386"/>
    <mergeCell ref="D385:D386"/>
    <mergeCell ref="E386:F386"/>
    <mergeCell ref="E404:F404"/>
    <mergeCell ref="E408:F408"/>
    <mergeCell ref="B396:B408"/>
    <mergeCell ref="C396:C408"/>
    <mergeCell ref="D396:D408"/>
    <mergeCell ref="B395:F395"/>
    <mergeCell ref="B385:B386"/>
    <mergeCell ref="E394:F394"/>
    <mergeCell ref="D286:D293"/>
    <mergeCell ref="E288:F288"/>
    <mergeCell ref="E291:F291"/>
    <mergeCell ref="E293:F293"/>
    <mergeCell ref="B295:B318"/>
    <mergeCell ref="C295:C318"/>
    <mergeCell ref="C320:C333"/>
    <mergeCell ref="B474:F474"/>
    <mergeCell ref="B483:F483"/>
    <mergeCell ref="C464:C466"/>
    <mergeCell ref="B442:B462"/>
    <mergeCell ref="B463:F463"/>
    <mergeCell ref="E343:F343"/>
    <mergeCell ref="E471:F471"/>
    <mergeCell ref="E473:F473"/>
    <mergeCell ref="B464:B466"/>
    <mergeCell ref="C442:C462"/>
    <mergeCell ref="B468:B473"/>
    <mergeCell ref="C468:C473"/>
    <mergeCell ref="D468:D473"/>
    <mergeCell ref="E462:F462"/>
    <mergeCell ref="B467:F467"/>
    <mergeCell ref="B475:F475"/>
    <mergeCell ref="D442:D462"/>
    <mergeCell ref="E366:F366"/>
    <mergeCell ref="B353:F353"/>
    <mergeCell ref="E357:F357"/>
    <mergeCell ref="E352:F352"/>
    <mergeCell ref="B335:B352"/>
    <mergeCell ref="C335:C352"/>
    <mergeCell ref="D335:D352"/>
    <mergeCell ref="B354:B357"/>
    <mergeCell ref="C354:C357"/>
    <mergeCell ref="D354:D357"/>
    <mergeCell ref="C364:C366"/>
    <mergeCell ref="D359:D362"/>
    <mergeCell ref="B253:F253"/>
    <mergeCell ref="B246:B248"/>
    <mergeCell ref="B257:F257"/>
    <mergeCell ref="B267:F267"/>
    <mergeCell ref="D268:D279"/>
    <mergeCell ref="E274:F274"/>
    <mergeCell ref="E279:F279"/>
    <mergeCell ref="C268:C279"/>
    <mergeCell ref="D295:D318"/>
    <mergeCell ref="E307:F307"/>
    <mergeCell ref="E318:F318"/>
    <mergeCell ref="B320:B333"/>
    <mergeCell ref="B294:F294"/>
    <mergeCell ref="B319:F319"/>
    <mergeCell ref="B286:B293"/>
    <mergeCell ref="C286:C293"/>
    <mergeCell ref="B359:B362"/>
    <mergeCell ref="C359:C362"/>
    <mergeCell ref="E362:F362"/>
    <mergeCell ref="B358:F358"/>
    <mergeCell ref="B363:F363"/>
    <mergeCell ref="B334:F334"/>
    <mergeCell ref="B237:F237"/>
    <mergeCell ref="B254:B256"/>
    <mergeCell ref="C254:C256"/>
    <mergeCell ref="D254:D256"/>
    <mergeCell ref="E256:F256"/>
    <mergeCell ref="C238:C244"/>
    <mergeCell ref="B238:B244"/>
    <mergeCell ref="E244:F244"/>
    <mergeCell ref="D320:D333"/>
    <mergeCell ref="E325:F325"/>
    <mergeCell ref="E333:F333"/>
    <mergeCell ref="E260:F260"/>
    <mergeCell ref="E263:F263"/>
    <mergeCell ref="D258:D266"/>
    <mergeCell ref="C258:C266"/>
    <mergeCell ref="B258:B266"/>
    <mergeCell ref="E266:F266"/>
    <mergeCell ref="E276:F276"/>
    <mergeCell ref="D281:D284"/>
    <mergeCell ref="B268:B279"/>
    <mergeCell ref="E284:F284"/>
    <mergeCell ref="B285:F285"/>
    <mergeCell ref="B281:B284"/>
    <mergeCell ref="C281:C284"/>
    <mergeCell ref="E391:F391"/>
    <mergeCell ref="D372:D375"/>
    <mergeCell ref="E375:F375"/>
    <mergeCell ref="B368:B370"/>
    <mergeCell ref="C368:C370"/>
    <mergeCell ref="D368:D370"/>
    <mergeCell ref="E370:F370"/>
    <mergeCell ref="B371:F371"/>
    <mergeCell ref="B376:F376"/>
    <mergeCell ref="B372:B375"/>
    <mergeCell ref="C372:C375"/>
    <mergeCell ref="B387:F387"/>
    <mergeCell ref="E381:F381"/>
    <mergeCell ref="E383:F383"/>
    <mergeCell ref="B388:B394"/>
    <mergeCell ref="C388:C394"/>
    <mergeCell ref="D388:D394"/>
    <mergeCell ref="B384:F384"/>
    <mergeCell ref="D377:D383"/>
    <mergeCell ref="C377:C383"/>
    <mergeCell ref="B367:F367"/>
    <mergeCell ref="B364:B366"/>
    <mergeCell ref="D364:D366"/>
    <mergeCell ref="D231:D233"/>
    <mergeCell ref="C231:C233"/>
    <mergeCell ref="B231:B233"/>
    <mergeCell ref="B230:F230"/>
    <mergeCell ref="B234:F234"/>
    <mergeCell ref="B235:B236"/>
    <mergeCell ref="C235:C236"/>
    <mergeCell ref="D235:D236"/>
    <mergeCell ref="E236:F236"/>
    <mergeCell ref="E233:F233"/>
    <mergeCell ref="B250:B252"/>
    <mergeCell ref="C250:C252"/>
    <mergeCell ref="D250:D252"/>
    <mergeCell ref="E252:F252"/>
    <mergeCell ref="B249:F249"/>
    <mergeCell ref="C246:C248"/>
    <mergeCell ref="D246:D248"/>
    <mergeCell ref="E248:F248"/>
    <mergeCell ref="E240:F240"/>
    <mergeCell ref="D238:D244"/>
    <mergeCell ref="B245:F245"/>
    <mergeCell ref="E178:F178"/>
    <mergeCell ref="B179:F179"/>
    <mergeCell ref="B158:B163"/>
    <mergeCell ref="C158:C163"/>
    <mergeCell ref="D158:D163"/>
    <mergeCell ref="E160:F160"/>
    <mergeCell ref="E163:F163"/>
    <mergeCell ref="B164:F164"/>
    <mergeCell ref="B228:B229"/>
    <mergeCell ref="C228:C229"/>
    <mergeCell ref="D228:D229"/>
    <mergeCell ref="E229:F229"/>
    <mergeCell ref="B224:B226"/>
    <mergeCell ref="C224:C226"/>
    <mergeCell ref="D224:D226"/>
    <mergeCell ref="E226:F226"/>
    <mergeCell ref="B223:F223"/>
    <mergeCell ref="B227:F227"/>
    <mergeCell ref="B157:F157"/>
    <mergeCell ref="B145:F145"/>
    <mergeCell ref="B142:B144"/>
    <mergeCell ref="E222:F222"/>
    <mergeCell ref="D216:D222"/>
    <mergeCell ref="C216:C222"/>
    <mergeCell ref="B216:B222"/>
    <mergeCell ref="B180:B198"/>
    <mergeCell ref="C180:C198"/>
    <mergeCell ref="D180:D198"/>
    <mergeCell ref="E194:F194"/>
    <mergeCell ref="E198:F198"/>
    <mergeCell ref="E220:F220"/>
    <mergeCell ref="B200:B214"/>
    <mergeCell ref="C200:C214"/>
    <mergeCell ref="D200:D214"/>
    <mergeCell ref="E207:F207"/>
    <mergeCell ref="E214:F214"/>
    <mergeCell ref="B199:F199"/>
    <mergeCell ref="B215:F215"/>
    <mergeCell ref="B165:B178"/>
    <mergeCell ref="C165:C178"/>
    <mergeCell ref="D165:D178"/>
    <mergeCell ref="E167:F167"/>
    <mergeCell ref="B125:B128"/>
    <mergeCell ref="C125:C128"/>
    <mergeCell ref="B153:F153"/>
    <mergeCell ref="B154:B156"/>
    <mergeCell ref="C154:C156"/>
    <mergeCell ref="D154:D156"/>
    <mergeCell ref="E156:F156"/>
    <mergeCell ref="B146:B152"/>
    <mergeCell ref="C146:C152"/>
    <mergeCell ref="D146:D152"/>
    <mergeCell ref="E150:F150"/>
    <mergeCell ref="E152:F152"/>
    <mergeCell ref="C142:C144"/>
    <mergeCell ref="D142:D144"/>
    <mergeCell ref="E144:F144"/>
    <mergeCell ref="C33:C35"/>
    <mergeCell ref="D33:D35"/>
    <mergeCell ref="C101:C108"/>
    <mergeCell ref="E104:F104"/>
    <mergeCell ref="E108:F108"/>
    <mergeCell ref="B64:F64"/>
    <mergeCell ref="B73:F73"/>
    <mergeCell ref="B141:F141"/>
    <mergeCell ref="B130:B140"/>
    <mergeCell ref="C130:C140"/>
    <mergeCell ref="D130:D140"/>
    <mergeCell ref="E140:F140"/>
    <mergeCell ref="E134:F134"/>
    <mergeCell ref="E138:F138"/>
    <mergeCell ref="B82:F82"/>
    <mergeCell ref="B65:B72"/>
    <mergeCell ref="B100:F100"/>
    <mergeCell ref="E78:F78"/>
    <mergeCell ref="E81:F81"/>
    <mergeCell ref="E68:F68"/>
    <mergeCell ref="E70:F70"/>
    <mergeCell ref="B74:B81"/>
    <mergeCell ref="D74:D81"/>
    <mergeCell ref="C74:C81"/>
    <mergeCell ref="C54:C58"/>
    <mergeCell ref="D54:D58"/>
    <mergeCell ref="D125:D128"/>
    <mergeCell ref="E128:F128"/>
    <mergeCell ref="B22:F22"/>
    <mergeCell ref="B26:F26"/>
    <mergeCell ref="B32:F32"/>
    <mergeCell ref="B27:B31"/>
    <mergeCell ref="C27:C31"/>
    <mergeCell ref="D27:D31"/>
    <mergeCell ref="B36:F36"/>
    <mergeCell ref="E41:F41"/>
    <mergeCell ref="E35:F35"/>
    <mergeCell ref="E29:F29"/>
    <mergeCell ref="E31:F31"/>
    <mergeCell ref="D65:D72"/>
    <mergeCell ref="E72:F72"/>
    <mergeCell ref="C65:C72"/>
    <mergeCell ref="B33:B35"/>
    <mergeCell ref="B37:B46"/>
    <mergeCell ref="C37:C46"/>
    <mergeCell ref="D37:D46"/>
    <mergeCell ref="E43:F43"/>
    <mergeCell ref="E46:F46"/>
    <mergeCell ref="B1:L1"/>
    <mergeCell ref="F2:F3"/>
    <mergeCell ref="B5:B8"/>
    <mergeCell ref="C5:C8"/>
    <mergeCell ref="D5:D8"/>
    <mergeCell ref="E8:F8"/>
    <mergeCell ref="B9:F9"/>
    <mergeCell ref="B10:B21"/>
    <mergeCell ref="C10:C21"/>
    <mergeCell ref="E17:F17"/>
    <mergeCell ref="B2:B3"/>
    <mergeCell ref="C2:D3"/>
    <mergeCell ref="E2:E3"/>
    <mergeCell ref="D10:D21"/>
    <mergeCell ref="E15:F15"/>
    <mergeCell ref="E21:F21"/>
    <mergeCell ref="G518:J518"/>
    <mergeCell ref="B47:F47"/>
    <mergeCell ref="B53:F53"/>
    <mergeCell ref="E58:F58"/>
    <mergeCell ref="B525:F525"/>
    <mergeCell ref="K3:L3"/>
    <mergeCell ref="G3:J3"/>
    <mergeCell ref="B23:B25"/>
    <mergeCell ref="C23:C25"/>
    <mergeCell ref="D23:D25"/>
    <mergeCell ref="E25:F25"/>
    <mergeCell ref="E52:F52"/>
    <mergeCell ref="B48:B52"/>
    <mergeCell ref="C48:C52"/>
    <mergeCell ref="D48:D52"/>
    <mergeCell ref="E50:F50"/>
    <mergeCell ref="E63:F63"/>
    <mergeCell ref="B60:B63"/>
    <mergeCell ref="C60:C63"/>
    <mergeCell ref="D60:D63"/>
    <mergeCell ref="B59:F59"/>
    <mergeCell ref="B54:B58"/>
  </mergeCells>
  <conditionalFormatting sqref="L485 L477:L483 E480:L480 E482:L482 E481:G481 I481:L481">
    <cfRule type="containsBlanks" dxfId="5" priority="5">
      <formula>LEN(TRIM(E477))=0</formula>
    </cfRule>
  </conditionalFormatting>
  <conditionalFormatting sqref="L3">
    <cfRule type="containsBlanks" dxfId="4" priority="7">
      <formula>LEN(TRIM(L3))=0</formula>
    </cfRule>
  </conditionalFormatting>
  <conditionalFormatting sqref="L518">
    <cfRule type="containsBlanks" dxfId="3" priority="6">
      <formula>LEN(TRIM(L518))=0</formula>
    </cfRule>
  </conditionalFormatting>
  <conditionalFormatting sqref="B1:L478 B483:L526 B479:E479 G479:L479">
    <cfRule type="containsBlanks" dxfId="2" priority="3">
      <formula>LEN(TRIM(B1))=0</formula>
    </cfRule>
  </conditionalFormatting>
  <conditionalFormatting sqref="H481">
    <cfRule type="containsBlanks" dxfId="1" priority="2">
      <formula>LEN(TRIM(H481))=0</formula>
    </cfRule>
  </conditionalFormatting>
  <conditionalFormatting sqref="F479">
    <cfRule type="containsBlanks" dxfId="0" priority="1">
      <formula>LEN(TRIM(F479))=0</formula>
    </cfRule>
  </conditionalFormatting>
  <pageMargins left="0.11811023622047245" right="0.15748031496062992" top="0.59055118110236227" bottom="0.23622047244094491" header="0.19685039370078741" footer="0.15748031496062992"/>
  <pageSetup paperSize="9" scale="65" orientation="portrait" r:id="rId1"/>
  <headerFooter>
    <oddFooter xml:space="preserve">&amp;C
&amp;P+23
&amp;R
</oddFooter>
  </headerFooter>
  <rowBreaks count="7" manualBreakCount="7">
    <brk id="73" max="11" man="1"/>
    <brk id="141" max="11" man="1"/>
    <brk id="215" max="11" man="1"/>
    <brk id="280" max="16383" man="1"/>
    <brk id="353" max="11" man="1"/>
    <brk id="424" max="16383" man="1"/>
    <brk id="475" max="1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36"/>
  <sheetViews>
    <sheetView rightToLeft="1" workbookViewId="0">
      <pane ySplit="8" topLeftCell="A19" activePane="bottomLeft" state="frozen"/>
      <selection pane="bottomLeft" activeCell="C27" sqref="C27"/>
    </sheetView>
  </sheetViews>
  <sheetFormatPr defaultRowHeight="14.25" x14ac:dyDescent="0.2"/>
  <cols>
    <col min="1" max="1" width="1.75" customWidth="1"/>
    <col min="2" max="2" width="44.75" style="80" bestFit="1" customWidth="1"/>
    <col min="3" max="7" width="15" style="21" customWidth="1"/>
    <col min="8" max="8" width="9.375" style="21" bestFit="1" customWidth="1"/>
    <col min="9" max="9" width="10.875" style="21" bestFit="1" customWidth="1"/>
    <col min="10" max="10" width="9.375" style="21" bestFit="1" customWidth="1"/>
    <col min="11" max="11" width="9" style="75"/>
  </cols>
  <sheetData>
    <row r="1" spans="2:11" ht="15" thickBot="1" x14ac:dyDescent="0.25"/>
    <row r="2" spans="2:11" s="46" customFormat="1" x14ac:dyDescent="0.2">
      <c r="B2" s="96"/>
      <c r="C2" s="97"/>
      <c r="D2" s="97"/>
      <c r="E2" s="97"/>
      <c r="F2" s="97"/>
      <c r="G2" s="97"/>
      <c r="H2" s="97"/>
      <c r="I2" s="579" t="s">
        <v>539</v>
      </c>
      <c r="J2" s="580"/>
      <c r="K2" s="75"/>
    </row>
    <row r="3" spans="2:11" s="46" customFormat="1" x14ac:dyDescent="0.2">
      <c r="B3" s="87" t="s">
        <v>535</v>
      </c>
      <c r="C3" s="72">
        <v>211355.5</v>
      </c>
      <c r="D3" s="4">
        <v>-108</v>
      </c>
      <c r="E3" s="72"/>
      <c r="F3" s="4"/>
      <c r="G3" s="71"/>
      <c r="H3" s="71"/>
      <c r="I3" s="72">
        <f>SUM(C3:H3)</f>
        <v>211247.5</v>
      </c>
      <c r="J3" s="578">
        <f>I4+I3</f>
        <v>1503386.7</v>
      </c>
      <c r="K3" s="75"/>
    </row>
    <row r="4" spans="2:11" s="46" customFormat="1" x14ac:dyDescent="0.2">
      <c r="B4" s="82" t="s">
        <v>532</v>
      </c>
      <c r="C4" s="72">
        <v>475433</v>
      </c>
      <c r="D4" s="72">
        <v>300780.15000000002</v>
      </c>
      <c r="E4" s="72">
        <v>515926.05</v>
      </c>
      <c r="F4" s="4"/>
      <c r="G4" s="72"/>
      <c r="H4" s="4"/>
      <c r="I4" s="72">
        <f>SUM(C4:H4)</f>
        <v>1292139.2</v>
      </c>
      <c r="J4" s="578"/>
      <c r="K4" s="75"/>
    </row>
    <row r="5" spans="2:11" x14ac:dyDescent="0.2">
      <c r="B5" s="82" t="s">
        <v>536</v>
      </c>
      <c r="C5" s="72">
        <v>79965</v>
      </c>
      <c r="D5" s="72">
        <v>1566</v>
      </c>
      <c r="E5" s="72">
        <v>48604.9</v>
      </c>
      <c r="F5" s="72">
        <v>1276</v>
      </c>
      <c r="G5" s="72">
        <v>83707.8</v>
      </c>
      <c r="H5" s="72">
        <v>1334</v>
      </c>
      <c r="I5" s="72">
        <f>SUM(C5:H5)</f>
        <v>216453.7</v>
      </c>
      <c r="J5" s="83">
        <f>I5+I6</f>
        <v>1292139.2</v>
      </c>
    </row>
    <row r="6" spans="2:11" s="46" customFormat="1" ht="15" thickBot="1" x14ac:dyDescent="0.25">
      <c r="B6" s="98" t="s">
        <v>538</v>
      </c>
      <c r="C6" s="73">
        <f>C4-C5-D5</f>
        <v>393902</v>
      </c>
      <c r="D6" s="73">
        <f>D4-E5-F5</f>
        <v>250899.25000000003</v>
      </c>
      <c r="E6" s="73">
        <f>E4-G5-H5</f>
        <v>430884.25</v>
      </c>
      <c r="F6" s="73"/>
      <c r="G6" s="73"/>
      <c r="H6" s="73"/>
      <c r="I6" s="73">
        <f>SUM(C6:H6)</f>
        <v>1075685.5</v>
      </c>
      <c r="J6" s="99">
        <f>I4-J5</f>
        <v>0</v>
      </c>
      <c r="K6" s="75"/>
    </row>
    <row r="7" spans="2:11" s="15" customFormat="1" ht="15" thickBot="1" x14ac:dyDescent="0.25">
      <c r="B7" s="94"/>
      <c r="C7" s="93"/>
      <c r="D7" s="93"/>
      <c r="E7" s="93"/>
      <c r="F7" s="93"/>
      <c r="G7" s="93"/>
      <c r="H7" s="93"/>
      <c r="I7" s="93"/>
      <c r="J7" s="93"/>
      <c r="K7" s="77"/>
    </row>
    <row r="8" spans="2:11" ht="38.25" x14ac:dyDescent="0.2">
      <c r="B8" s="109" t="s">
        <v>557</v>
      </c>
      <c r="C8" s="108" t="s">
        <v>119</v>
      </c>
      <c r="D8" s="108" t="s">
        <v>54</v>
      </c>
      <c r="E8" s="108" t="s">
        <v>120</v>
      </c>
      <c r="F8" s="108" t="s">
        <v>250</v>
      </c>
      <c r="G8" s="108" t="s">
        <v>53</v>
      </c>
      <c r="H8" s="579" t="s">
        <v>539</v>
      </c>
      <c r="I8" s="580"/>
      <c r="J8" s="81"/>
    </row>
    <row r="9" spans="2:11" x14ac:dyDescent="0.2">
      <c r="B9" s="82" t="s">
        <v>533</v>
      </c>
      <c r="C9" s="72">
        <v>390803</v>
      </c>
      <c r="D9" s="72">
        <v>15097.5</v>
      </c>
      <c r="E9" s="72">
        <v>38508.5</v>
      </c>
      <c r="F9" s="78">
        <v>25464</v>
      </c>
      <c r="G9" s="78">
        <v>5560</v>
      </c>
      <c r="H9" s="72">
        <f t="shared" ref="H9:H17" si="0">SUM(C9:G9)</f>
        <v>475433</v>
      </c>
      <c r="I9" s="83">
        <f>C4-H9</f>
        <v>0</v>
      </c>
    </row>
    <row r="10" spans="2:11" x14ac:dyDescent="0.2">
      <c r="B10" s="82" t="s">
        <v>533</v>
      </c>
      <c r="C10" s="72">
        <v>250766</v>
      </c>
      <c r="D10" s="72">
        <v>7039.35</v>
      </c>
      <c r="E10" s="72">
        <v>20896.8</v>
      </c>
      <c r="F10" s="78">
        <v>18478</v>
      </c>
      <c r="G10" s="78">
        <v>3600</v>
      </c>
      <c r="H10" s="72">
        <f t="shared" si="0"/>
        <v>300780.15000000002</v>
      </c>
      <c r="I10" s="83">
        <f>D4-H10</f>
        <v>0</v>
      </c>
    </row>
    <row r="11" spans="2:11" x14ac:dyDescent="0.2">
      <c r="B11" s="82" t="s">
        <v>533</v>
      </c>
      <c r="C11" s="72">
        <v>422680</v>
      </c>
      <c r="D11" s="72">
        <v>13195.05</v>
      </c>
      <c r="E11" s="72">
        <v>41207</v>
      </c>
      <c r="F11" s="78">
        <v>32684</v>
      </c>
      <c r="G11" s="78">
        <v>6160</v>
      </c>
      <c r="H11" s="72">
        <f t="shared" si="0"/>
        <v>515926.05</v>
      </c>
      <c r="I11" s="83">
        <f>E4-H11</f>
        <v>0</v>
      </c>
    </row>
    <row r="12" spans="2:11" s="46" customFormat="1" x14ac:dyDescent="0.2">
      <c r="B12" s="84" t="s">
        <v>537</v>
      </c>
      <c r="C12" s="79">
        <f>SUM(C9:C11)</f>
        <v>1064249</v>
      </c>
      <c r="D12" s="79">
        <f>SUM(D9:D11)</f>
        <v>35331.899999999994</v>
      </c>
      <c r="E12" s="79">
        <f t="shared" ref="E12:G12" si="1">SUM(E9:E11)</f>
        <v>100612.3</v>
      </c>
      <c r="F12" s="79">
        <f t="shared" si="1"/>
        <v>76626</v>
      </c>
      <c r="G12" s="79">
        <f t="shared" si="1"/>
        <v>15320</v>
      </c>
      <c r="H12" s="79">
        <f t="shared" si="0"/>
        <v>1292139.2</v>
      </c>
      <c r="I12" s="85">
        <f>I4-H12</f>
        <v>0</v>
      </c>
      <c r="K12" s="70"/>
    </row>
    <row r="13" spans="2:11" s="46" customFormat="1" x14ac:dyDescent="0.2">
      <c r="B13" s="82" t="s">
        <v>544</v>
      </c>
      <c r="C13" s="78">
        <f>'غير نقدي حاسوب'!H5</f>
        <v>37724</v>
      </c>
      <c r="D13" s="78">
        <f>'غير نقدي حاسوب'!H6</f>
        <v>15656.400000000001</v>
      </c>
      <c r="E13" s="78">
        <f>'غير نقدي حاسوب'!H7</f>
        <v>86447.3</v>
      </c>
      <c r="F13" s="78">
        <f>'غير نقدي حاسوب'!H8</f>
        <v>76626</v>
      </c>
      <c r="G13" s="78">
        <f>'غير نقدي حاسوب'!H9</f>
        <v>0</v>
      </c>
      <c r="H13" s="78">
        <f>SUM(C13:G13)</f>
        <v>216453.7</v>
      </c>
      <c r="I13" s="86">
        <f>I5-H13</f>
        <v>0</v>
      </c>
      <c r="K13" s="74"/>
    </row>
    <row r="14" spans="2:11" s="46" customFormat="1" x14ac:dyDescent="0.2">
      <c r="B14" s="82" t="s">
        <v>556</v>
      </c>
      <c r="C14" s="78">
        <f>'غير نقدي حاسوب'!I5</f>
        <v>2424</v>
      </c>
      <c r="D14" s="78">
        <f>'غير نقدي حاسوب'!I6</f>
        <v>405</v>
      </c>
      <c r="E14" s="78">
        <f>'غير نقدي حاسوب'!I7</f>
        <v>0</v>
      </c>
      <c r="F14" s="78">
        <f>'غير نقدي حاسوب'!I$8</f>
        <v>0</v>
      </c>
      <c r="G14" s="78">
        <f>'غير نقدي حاسوب'!I9</f>
        <v>0</v>
      </c>
      <c r="H14" s="78">
        <f t="shared" si="0"/>
        <v>2829</v>
      </c>
      <c r="I14" s="86">
        <f>I6-H14-H15-H16-H17-H18-H19</f>
        <v>0</v>
      </c>
      <c r="K14" s="74"/>
    </row>
    <row r="15" spans="2:11" s="46" customFormat="1" x14ac:dyDescent="0.2">
      <c r="B15" s="82" t="s">
        <v>547</v>
      </c>
      <c r="C15" s="78">
        <f>'غير نقدي حاسوب'!J5</f>
        <v>79263</v>
      </c>
      <c r="D15" s="78">
        <f>'غير نقدي حاسوب'!J6</f>
        <v>11583</v>
      </c>
      <c r="E15" s="78">
        <f>'غير نقدي حاسوب'!J7</f>
        <v>0</v>
      </c>
      <c r="F15" s="78">
        <f>'غير نقدي حاسوب'!J8</f>
        <v>0</v>
      </c>
      <c r="G15" s="78">
        <f>'غير نقدي حاسوب'!J9</f>
        <v>0</v>
      </c>
      <c r="H15" s="78">
        <f t="shared" si="0"/>
        <v>90846</v>
      </c>
      <c r="I15" s="86"/>
      <c r="K15" s="74"/>
    </row>
    <row r="16" spans="2:11" s="46" customFormat="1" x14ac:dyDescent="0.2">
      <c r="B16" s="82" t="s">
        <v>546</v>
      </c>
      <c r="C16" s="78">
        <f>'غير نقدي حاسوب'!K5</f>
        <v>920573</v>
      </c>
      <c r="D16" s="78">
        <f>'غير نقدي حاسوب'!K6</f>
        <v>7471.5</v>
      </c>
      <c r="E16" s="78">
        <f>'غير نقدي حاسوب'!K7</f>
        <v>14165</v>
      </c>
      <c r="F16" s="78">
        <f>'غير نقدي حاسوب'!K8</f>
        <v>0</v>
      </c>
      <c r="G16" s="78">
        <f>'غير نقدي حاسوب'!K9</f>
        <v>15320</v>
      </c>
      <c r="H16" s="78">
        <f t="shared" si="0"/>
        <v>957529.5</v>
      </c>
      <c r="I16" s="86"/>
      <c r="K16" s="74"/>
    </row>
    <row r="17" spans="2:11" s="46" customFormat="1" x14ac:dyDescent="0.2">
      <c r="B17" s="82" t="s">
        <v>548</v>
      </c>
      <c r="C17" s="78">
        <f>'غير نقدي حاسوب'!L5</f>
        <v>7260</v>
      </c>
      <c r="D17" s="78">
        <f>'غير نقدي حاسوب'!L6</f>
        <v>0</v>
      </c>
      <c r="E17" s="78">
        <f>'غير نقدي حاسوب'!L7</f>
        <v>0</v>
      </c>
      <c r="F17" s="78">
        <f>'غير نقدي حاسوب'!L8</f>
        <v>0</v>
      </c>
      <c r="G17" s="78">
        <f>'غير نقدي حاسوب'!L9</f>
        <v>0</v>
      </c>
      <c r="H17" s="78">
        <f t="shared" si="0"/>
        <v>7260</v>
      </c>
      <c r="I17" s="86"/>
      <c r="K17" s="74"/>
    </row>
    <row r="18" spans="2:11" s="46" customFormat="1" x14ac:dyDescent="0.2">
      <c r="B18" s="82" t="s">
        <v>549</v>
      </c>
      <c r="C18" s="78">
        <f>'غير نقدي حاسوب'!M5</f>
        <v>6360</v>
      </c>
      <c r="D18" s="78">
        <f>'غير نقدي حاسوب'!M6</f>
        <v>216</v>
      </c>
      <c r="E18" s="78">
        <f>'غير نقدي حاسوب'!M7</f>
        <v>0</v>
      </c>
      <c r="F18" s="78">
        <f>'غير نقدي حاسوب'!M8</f>
        <v>0</v>
      </c>
      <c r="G18" s="78">
        <f>'غير نقدي حاسوب'!M9</f>
        <v>0</v>
      </c>
      <c r="H18" s="78">
        <f>SUM(C18:G18)</f>
        <v>6576</v>
      </c>
      <c r="I18" s="86"/>
      <c r="K18" s="74"/>
    </row>
    <row r="19" spans="2:11" s="46" customFormat="1" x14ac:dyDescent="0.2">
      <c r="B19" s="82" t="s">
        <v>551</v>
      </c>
      <c r="C19" s="78">
        <f>'غير نقدي حاسوب'!N5</f>
        <v>10645</v>
      </c>
      <c r="D19" s="78">
        <f>'غير نقدي حاسوب'!N6</f>
        <v>0</v>
      </c>
      <c r="E19" s="78">
        <f>'غير نقدي حاسوب'!N7</f>
        <v>0</v>
      </c>
      <c r="F19" s="78">
        <f>'غير نقدي حاسوب'!N8</f>
        <v>0</v>
      </c>
      <c r="G19" s="78">
        <f>'غير نقدي حاسوب'!N9</f>
        <v>0</v>
      </c>
      <c r="H19" s="78">
        <f>SUM(C19:G19)</f>
        <v>10645</v>
      </c>
      <c r="I19" s="86">
        <f>H12-H20</f>
        <v>0</v>
      </c>
      <c r="K19" s="74"/>
    </row>
    <row r="20" spans="2:11" s="46" customFormat="1" x14ac:dyDescent="0.2">
      <c r="B20" s="84" t="s">
        <v>550</v>
      </c>
      <c r="C20" s="79">
        <f>SUM(C13:C19)</f>
        <v>1064249</v>
      </c>
      <c r="D20" s="79">
        <f t="shared" ref="D20:G20" si="2">SUM(D13:D19)</f>
        <v>35331.9</v>
      </c>
      <c r="E20" s="79">
        <f t="shared" si="2"/>
        <v>100612.3</v>
      </c>
      <c r="F20" s="79">
        <f t="shared" si="2"/>
        <v>76626</v>
      </c>
      <c r="G20" s="79">
        <f t="shared" si="2"/>
        <v>15320</v>
      </c>
      <c r="H20" s="79">
        <f>SUM(C20:G20)</f>
        <v>1292139.2</v>
      </c>
      <c r="I20" s="85">
        <f>I4-H20</f>
        <v>0</v>
      </c>
      <c r="K20" s="74"/>
    </row>
    <row r="21" spans="2:11" s="1" customFormat="1" x14ac:dyDescent="0.2">
      <c r="B21" s="89"/>
      <c r="C21" s="78">
        <f>C12-C20</f>
        <v>0</v>
      </c>
      <c r="D21" s="78">
        <f t="shared" ref="D21:G21" si="3">D12-D20</f>
        <v>0</v>
      </c>
      <c r="E21" s="78">
        <f t="shared" si="3"/>
        <v>0</v>
      </c>
      <c r="F21" s="78">
        <f t="shared" si="3"/>
        <v>0</v>
      </c>
      <c r="G21" s="78">
        <f t="shared" si="3"/>
        <v>0</v>
      </c>
      <c r="H21" s="78"/>
      <c r="I21" s="86"/>
      <c r="K21" s="93"/>
    </row>
    <row r="22" spans="2:11" x14ac:dyDescent="0.2">
      <c r="B22" s="87" t="s">
        <v>531</v>
      </c>
      <c r="C22" s="78">
        <v>1732</v>
      </c>
      <c r="D22" s="78">
        <v>356.4</v>
      </c>
      <c r="E22" s="78">
        <v>5864</v>
      </c>
      <c r="F22" s="78">
        <v>8380</v>
      </c>
      <c r="G22" s="78">
        <v>0</v>
      </c>
      <c r="H22" s="78">
        <f>SUM(C22:G22)</f>
        <v>16332.4</v>
      </c>
      <c r="I22" s="86"/>
    </row>
    <row r="23" spans="2:11" x14ac:dyDescent="0.2">
      <c r="B23" s="87" t="s">
        <v>530</v>
      </c>
      <c r="C23" s="78">
        <v>191324.1</v>
      </c>
      <c r="D23" s="78">
        <v>2511</v>
      </c>
      <c r="E23" s="78">
        <v>1080</v>
      </c>
      <c r="F23" s="3">
        <v>0</v>
      </c>
      <c r="G23" s="3">
        <v>0</v>
      </c>
      <c r="H23" s="78">
        <f>SUM(C23:G23)</f>
        <v>194915.1</v>
      </c>
      <c r="I23" s="86"/>
    </row>
    <row r="24" spans="2:11" s="46" customFormat="1" x14ac:dyDescent="0.2">
      <c r="B24" s="84" t="s">
        <v>545</v>
      </c>
      <c r="C24" s="79">
        <f>SUM(C22:C23)</f>
        <v>193056.1</v>
      </c>
      <c r="D24" s="79">
        <f t="shared" ref="D24:G24" si="4">SUM(D22:D23)</f>
        <v>2867.4</v>
      </c>
      <c r="E24" s="79">
        <f t="shared" si="4"/>
        <v>6944</v>
      </c>
      <c r="F24" s="79">
        <f t="shared" si="4"/>
        <v>8380</v>
      </c>
      <c r="G24" s="79">
        <f t="shared" si="4"/>
        <v>0</v>
      </c>
      <c r="H24" s="79">
        <f>SUM(C24:G24)</f>
        <v>211247.5</v>
      </c>
      <c r="I24" s="85">
        <f>I3-H24</f>
        <v>0</v>
      </c>
      <c r="K24" s="75"/>
    </row>
    <row r="25" spans="2:11" ht="38.25" x14ac:dyDescent="0.2">
      <c r="B25" s="88" t="s">
        <v>534</v>
      </c>
      <c r="C25" s="106" t="s">
        <v>119</v>
      </c>
      <c r="D25" s="106" t="s">
        <v>54</v>
      </c>
      <c r="E25" s="106" t="s">
        <v>120</v>
      </c>
      <c r="F25" s="106" t="s">
        <v>250</v>
      </c>
      <c r="G25" s="106" t="s">
        <v>53</v>
      </c>
      <c r="H25" s="576" t="s">
        <v>539</v>
      </c>
      <c r="I25" s="577"/>
      <c r="J25" s="81"/>
    </row>
    <row r="26" spans="2:11" x14ac:dyDescent="0.2">
      <c r="B26" s="84" t="s">
        <v>540</v>
      </c>
      <c r="C26" s="79">
        <f>C12+C24</f>
        <v>1257305.1000000001</v>
      </c>
      <c r="D26" s="79">
        <f>D12+D24</f>
        <v>38199.299999999996</v>
      </c>
      <c r="E26" s="79">
        <f>E12+E24</f>
        <v>107556.3</v>
      </c>
      <c r="F26" s="79">
        <f>F12+F24</f>
        <v>85006</v>
      </c>
      <c r="G26" s="79">
        <f>G12+G24</f>
        <v>15320</v>
      </c>
      <c r="H26" s="79">
        <f>SUM(C26:G26)</f>
        <v>1503386.7000000002</v>
      </c>
      <c r="I26" s="85">
        <f>J3-H26</f>
        <v>0</v>
      </c>
    </row>
    <row r="27" spans="2:11" x14ac:dyDescent="0.2">
      <c r="B27" s="87" t="s">
        <v>561</v>
      </c>
      <c r="C27" s="72">
        <f>C22</f>
        <v>1732</v>
      </c>
      <c r="D27" s="72">
        <f t="shared" ref="D27:G27" si="5">D22</f>
        <v>356.4</v>
      </c>
      <c r="E27" s="72">
        <f t="shared" si="5"/>
        <v>5864</v>
      </c>
      <c r="F27" s="72">
        <f t="shared" si="5"/>
        <v>8380</v>
      </c>
      <c r="G27" s="72">
        <f t="shared" si="5"/>
        <v>0</v>
      </c>
      <c r="H27" s="72">
        <f>SUM(C27:G27)</f>
        <v>16332.4</v>
      </c>
      <c r="I27" s="83">
        <f>H22-H27</f>
        <v>0</v>
      </c>
    </row>
    <row r="28" spans="2:11" x14ac:dyDescent="0.2">
      <c r="B28" s="87" t="s">
        <v>541</v>
      </c>
      <c r="C28" s="72">
        <f>C23</f>
        <v>191324.1</v>
      </c>
      <c r="D28" s="72">
        <f t="shared" ref="D28:G28" si="6">D23</f>
        <v>2511</v>
      </c>
      <c r="E28" s="72">
        <f t="shared" si="6"/>
        <v>1080</v>
      </c>
      <c r="F28" s="72">
        <f t="shared" si="6"/>
        <v>0</v>
      </c>
      <c r="G28" s="72">
        <f t="shared" si="6"/>
        <v>0</v>
      </c>
      <c r="H28" s="72">
        <f>SUM(C28:G28)</f>
        <v>194915.1</v>
      </c>
      <c r="I28" s="83">
        <f>H23-H28</f>
        <v>0</v>
      </c>
      <c r="J28" s="81"/>
    </row>
    <row r="29" spans="2:11" x14ac:dyDescent="0.2">
      <c r="B29" s="82" t="s">
        <v>542</v>
      </c>
      <c r="C29" s="72">
        <f>C13</f>
        <v>37724</v>
      </c>
      <c r="D29" s="72">
        <f>D13</f>
        <v>15656.400000000001</v>
      </c>
      <c r="E29" s="72">
        <f>E13</f>
        <v>86447.3</v>
      </c>
      <c r="F29" s="72">
        <f>F13</f>
        <v>76626</v>
      </c>
      <c r="G29" s="72">
        <f>G13</f>
        <v>0</v>
      </c>
      <c r="H29" s="72">
        <f>SUM(C29:G29)</f>
        <v>216453.7</v>
      </c>
      <c r="I29" s="83">
        <f>I5-H29</f>
        <v>0</v>
      </c>
    </row>
    <row r="30" spans="2:11" x14ac:dyDescent="0.2">
      <c r="B30" s="82" t="s">
        <v>543</v>
      </c>
      <c r="C30" s="72">
        <f>C12-C29</f>
        <v>1026525</v>
      </c>
      <c r="D30" s="72">
        <f>D12-D29</f>
        <v>19675.499999999993</v>
      </c>
      <c r="E30" s="72">
        <f>E12-E29</f>
        <v>14165</v>
      </c>
      <c r="F30" s="72">
        <f>F12-F29</f>
        <v>0</v>
      </c>
      <c r="G30" s="72">
        <f>G12-G29</f>
        <v>15320</v>
      </c>
      <c r="H30" s="72">
        <f>SUM(C30:G30)</f>
        <v>1075685.5</v>
      </c>
      <c r="I30" s="83">
        <f>I6-H30</f>
        <v>0</v>
      </c>
    </row>
    <row r="31" spans="2:11" x14ac:dyDescent="0.2">
      <c r="B31" s="89"/>
      <c r="C31" s="72">
        <f>C26-C27-C28-C29-C30</f>
        <v>0</v>
      </c>
      <c r="D31" s="72">
        <f t="shared" ref="D31:G31" si="7">D26-D27-D28-D29-D30</f>
        <v>0</v>
      </c>
      <c r="E31" s="72">
        <f t="shared" si="7"/>
        <v>0</v>
      </c>
      <c r="F31" s="72">
        <f t="shared" si="7"/>
        <v>0</v>
      </c>
      <c r="G31" s="72">
        <f t="shared" si="7"/>
        <v>0</v>
      </c>
      <c r="H31" s="4"/>
      <c r="I31" s="76"/>
    </row>
    <row r="32" spans="2:11" ht="38.25" x14ac:dyDescent="0.2">
      <c r="B32" s="88" t="s">
        <v>534</v>
      </c>
      <c r="C32" s="106" t="s">
        <v>119</v>
      </c>
      <c r="D32" s="106" t="s">
        <v>54</v>
      </c>
      <c r="E32" s="106" t="s">
        <v>120</v>
      </c>
      <c r="F32" s="106" t="s">
        <v>250</v>
      </c>
      <c r="G32" s="106" t="s">
        <v>53</v>
      </c>
      <c r="H32" s="576" t="s">
        <v>539</v>
      </c>
      <c r="I32" s="577"/>
      <c r="J32" s="81"/>
    </row>
    <row r="33" spans="2:10" ht="25.5" x14ac:dyDescent="0.2">
      <c r="B33" s="110" t="s">
        <v>558</v>
      </c>
      <c r="C33" s="72">
        <f>C27+C29</f>
        <v>39456</v>
      </c>
      <c r="D33" s="72">
        <f t="shared" ref="D33:G33" si="8">D27+D29</f>
        <v>16012.800000000001</v>
      </c>
      <c r="E33" s="72">
        <f>E27+E29</f>
        <v>92311.3</v>
      </c>
      <c r="F33" s="72">
        <f t="shared" si="8"/>
        <v>85006</v>
      </c>
      <c r="G33" s="72">
        <f t="shared" si="8"/>
        <v>0</v>
      </c>
      <c r="H33" s="72">
        <f>SUM(C33:G33)</f>
        <v>232786.1</v>
      </c>
      <c r="I33" s="83">
        <f>H33-H27-H29</f>
        <v>0</v>
      </c>
    </row>
    <row r="34" spans="2:10" ht="38.25" x14ac:dyDescent="0.2">
      <c r="B34" s="110" t="s">
        <v>560</v>
      </c>
      <c r="C34" s="78">
        <f>C28+C30</f>
        <v>1217849.1000000001</v>
      </c>
      <c r="D34" s="78">
        <f t="shared" ref="D34:G34" si="9">D28+D30</f>
        <v>22186.499999999993</v>
      </c>
      <c r="E34" s="78">
        <f t="shared" si="9"/>
        <v>15245</v>
      </c>
      <c r="F34" s="78">
        <f t="shared" si="9"/>
        <v>0</v>
      </c>
      <c r="G34" s="78">
        <f t="shared" si="9"/>
        <v>15320</v>
      </c>
      <c r="H34" s="78">
        <f>SUM(C34:G34)</f>
        <v>1270600.6000000001</v>
      </c>
      <c r="I34" s="86">
        <f>H34-H28-H30</f>
        <v>0</v>
      </c>
      <c r="J34" s="107"/>
    </row>
    <row r="35" spans="2:10" ht="25.5" x14ac:dyDescent="0.2">
      <c r="B35" s="111" t="s">
        <v>559</v>
      </c>
      <c r="C35" s="79">
        <f>SUM(C33:C34)</f>
        <v>1257305.1000000001</v>
      </c>
      <c r="D35" s="79">
        <f>SUM(D33:D34)</f>
        <v>38199.299999999996</v>
      </c>
      <c r="E35" s="79">
        <f>SUM(E33:E34)</f>
        <v>107556.3</v>
      </c>
      <c r="F35" s="79">
        <f t="shared" ref="F35:G35" si="10">SUM(F33:F34)</f>
        <v>85006</v>
      </c>
      <c r="G35" s="79">
        <f t="shared" si="10"/>
        <v>15320</v>
      </c>
      <c r="H35" s="79">
        <f>SUM(C35:G35)</f>
        <v>1503386.7000000002</v>
      </c>
      <c r="I35" s="85">
        <f>J3-H35</f>
        <v>0</v>
      </c>
    </row>
    <row r="36" spans="2:10" ht="15" thickBot="1" x14ac:dyDescent="0.25">
      <c r="B36" s="90"/>
      <c r="C36" s="73">
        <f>C26-C35</f>
        <v>0</v>
      </c>
      <c r="D36" s="73">
        <f t="shared" ref="D36:G36" si="11">D26-D35</f>
        <v>0</v>
      </c>
      <c r="E36" s="73">
        <f t="shared" si="11"/>
        <v>0</v>
      </c>
      <c r="F36" s="73">
        <f t="shared" si="11"/>
        <v>0</v>
      </c>
      <c r="G36" s="73">
        <f t="shared" si="11"/>
        <v>0</v>
      </c>
      <c r="H36" s="91"/>
      <c r="I36" s="92"/>
      <c r="J36" s="81"/>
    </row>
  </sheetData>
  <mergeCells count="5">
    <mergeCell ref="H25:I25"/>
    <mergeCell ref="H32:I32"/>
    <mergeCell ref="J3:J4"/>
    <mergeCell ref="I2:J2"/>
    <mergeCell ref="H8:I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O56"/>
  <sheetViews>
    <sheetView rightToLeft="1" workbookViewId="0">
      <selection activeCell="O10" sqref="O10"/>
    </sheetView>
  </sheetViews>
  <sheetFormatPr defaultRowHeight="14.25" x14ac:dyDescent="0.2"/>
  <cols>
    <col min="5" max="5" width="2.625" customWidth="1"/>
    <col min="6" max="6" width="11.375" bestFit="1" customWidth="1"/>
    <col min="7" max="7" width="19.625" style="46" customWidth="1"/>
    <col min="8" max="8" width="10.875" bestFit="1" customWidth="1"/>
    <col min="9" max="9" width="8.875" bestFit="1" customWidth="1"/>
    <col min="10" max="10" width="9.875" bestFit="1" customWidth="1"/>
    <col min="11" max="11" width="10.875" bestFit="1" customWidth="1"/>
    <col min="12" max="13" width="8.875" bestFit="1" customWidth="1"/>
    <col min="14" max="14" width="9.875" bestFit="1" customWidth="1"/>
    <col min="15" max="15" width="12.375" bestFit="1" customWidth="1"/>
  </cols>
  <sheetData>
    <row r="3" spans="2:15" ht="15" x14ac:dyDescent="0.2">
      <c r="G3" s="23"/>
      <c r="H3" s="100">
        <v>0</v>
      </c>
      <c r="I3" s="100">
        <v>1</v>
      </c>
      <c r="J3" s="100">
        <v>2</v>
      </c>
      <c r="K3" s="100">
        <v>5</v>
      </c>
      <c r="L3" s="100">
        <v>7</v>
      </c>
      <c r="M3" s="100">
        <v>8</v>
      </c>
      <c r="N3" s="100">
        <v>21</v>
      </c>
      <c r="O3" s="100" t="s">
        <v>555</v>
      </c>
    </row>
    <row r="4" spans="2:15" s="46" customFormat="1" ht="9" customHeight="1" thickBot="1" x14ac:dyDescent="0.25">
      <c r="G4" s="23"/>
      <c r="H4" s="103"/>
      <c r="I4" s="103"/>
      <c r="J4" s="103"/>
      <c r="K4" s="103"/>
      <c r="L4" s="103"/>
      <c r="M4" s="103"/>
      <c r="N4" s="103"/>
      <c r="O4" s="103"/>
    </row>
    <row r="5" spans="2:15" ht="26.25" thickBot="1" x14ac:dyDescent="0.25">
      <c r="F5" s="102">
        <v>31</v>
      </c>
      <c r="G5" s="95" t="s">
        <v>119</v>
      </c>
      <c r="H5" s="104">
        <v>37724</v>
      </c>
      <c r="I5" s="104">
        <v>2424</v>
      </c>
      <c r="J5" s="104">
        <v>79263</v>
      </c>
      <c r="K5" s="104">
        <v>920573</v>
      </c>
      <c r="L5" s="104">
        <v>7260</v>
      </c>
      <c r="M5" s="104">
        <v>6360</v>
      </c>
      <c r="N5" s="104">
        <v>10645</v>
      </c>
      <c r="O5" s="104">
        <f>SUM(H5:N5)</f>
        <v>1064249</v>
      </c>
    </row>
    <row r="6" spans="2:15" ht="26.25" thickBot="1" x14ac:dyDescent="0.25">
      <c r="F6" s="102">
        <v>899</v>
      </c>
      <c r="G6" s="95" t="s">
        <v>54</v>
      </c>
      <c r="H6" s="104">
        <v>15656.400000000001</v>
      </c>
      <c r="I6" s="104">
        <v>405</v>
      </c>
      <c r="J6" s="104">
        <v>11583</v>
      </c>
      <c r="K6" s="104">
        <v>7471.5</v>
      </c>
      <c r="L6" s="104"/>
      <c r="M6" s="104">
        <v>216</v>
      </c>
      <c r="N6" s="104"/>
      <c r="O6" s="104">
        <f>SUM(H6:N6)</f>
        <v>35331.9</v>
      </c>
    </row>
    <row r="7" spans="2:15" ht="26.25" thickBot="1" x14ac:dyDescent="0.25">
      <c r="F7" s="102">
        <v>901</v>
      </c>
      <c r="G7" s="95" t="s">
        <v>120</v>
      </c>
      <c r="H7" s="104">
        <v>86447.3</v>
      </c>
      <c r="I7" s="104"/>
      <c r="J7" s="104"/>
      <c r="K7" s="104">
        <v>14165</v>
      </c>
      <c r="L7" s="104"/>
      <c r="M7" s="104"/>
      <c r="N7" s="104"/>
      <c r="O7" s="104">
        <f t="shared" ref="O7:O9" si="0">SUM(H7:N7)</f>
        <v>100612.3</v>
      </c>
    </row>
    <row r="8" spans="2:15" ht="26.25" thickBot="1" x14ac:dyDescent="0.25">
      <c r="F8" s="102">
        <v>65</v>
      </c>
      <c r="G8" s="95" t="s">
        <v>250</v>
      </c>
      <c r="H8" s="104">
        <v>76626</v>
      </c>
      <c r="I8" s="104"/>
      <c r="J8" s="104"/>
      <c r="K8" s="104"/>
      <c r="L8" s="104"/>
      <c r="M8" s="104"/>
      <c r="N8" s="104"/>
      <c r="O8" s="104">
        <f t="shared" si="0"/>
        <v>76626</v>
      </c>
    </row>
    <row r="9" spans="2:15" ht="26.25" thickBot="1" x14ac:dyDescent="0.25">
      <c r="F9" s="102">
        <v>62</v>
      </c>
      <c r="G9" s="95" t="s">
        <v>53</v>
      </c>
      <c r="H9" s="104"/>
      <c r="I9" s="104"/>
      <c r="J9" s="104"/>
      <c r="K9" s="104">
        <v>15320</v>
      </c>
      <c r="L9" s="104"/>
      <c r="M9" s="104"/>
      <c r="N9" s="104"/>
      <c r="O9" s="104">
        <f t="shared" si="0"/>
        <v>15320</v>
      </c>
    </row>
    <row r="10" spans="2:15" ht="15" x14ac:dyDescent="0.2">
      <c r="F10" s="101" t="s">
        <v>555</v>
      </c>
      <c r="G10" s="101"/>
      <c r="H10" s="105">
        <f t="shared" ref="H10:O10" si="1">SUM(H5:H9)</f>
        <v>216453.7</v>
      </c>
      <c r="I10" s="105">
        <f t="shared" si="1"/>
        <v>2829</v>
      </c>
      <c r="J10" s="105">
        <f t="shared" si="1"/>
        <v>90846</v>
      </c>
      <c r="K10" s="105">
        <f t="shared" si="1"/>
        <v>957529.5</v>
      </c>
      <c r="L10" s="105">
        <f t="shared" si="1"/>
        <v>7260</v>
      </c>
      <c r="M10" s="105">
        <f t="shared" si="1"/>
        <v>6576</v>
      </c>
      <c r="N10" s="105">
        <f t="shared" si="1"/>
        <v>10645</v>
      </c>
      <c r="O10" s="105">
        <f t="shared" si="1"/>
        <v>1292139.2</v>
      </c>
    </row>
    <row r="12" spans="2:15" x14ac:dyDescent="0.2">
      <c r="B12" s="46" t="s">
        <v>552</v>
      </c>
      <c r="C12" s="46" t="s">
        <v>553</v>
      </c>
      <c r="D12" s="46" t="s">
        <v>554</v>
      </c>
    </row>
    <row r="13" spans="2:15" x14ac:dyDescent="0.2">
      <c r="B13" s="46">
        <v>31</v>
      </c>
      <c r="C13" s="46">
        <v>0</v>
      </c>
      <c r="D13" s="46">
        <v>15780</v>
      </c>
    </row>
    <row r="14" spans="2:15" x14ac:dyDescent="0.2">
      <c r="B14" s="46">
        <v>31</v>
      </c>
      <c r="C14" s="46">
        <v>1</v>
      </c>
      <c r="D14" s="46">
        <v>479</v>
      </c>
    </row>
    <row r="15" spans="2:15" x14ac:dyDescent="0.2">
      <c r="B15" s="46">
        <v>31</v>
      </c>
      <c r="C15" s="46">
        <v>2</v>
      </c>
      <c r="D15" s="46">
        <v>33006</v>
      </c>
    </row>
    <row r="16" spans="2:15" x14ac:dyDescent="0.2">
      <c r="B16" s="46">
        <v>31</v>
      </c>
      <c r="C16" s="46">
        <v>5</v>
      </c>
      <c r="D16" s="46">
        <v>334368</v>
      </c>
    </row>
    <row r="17" spans="2:4" x14ac:dyDescent="0.2">
      <c r="B17" s="46">
        <v>31</v>
      </c>
      <c r="C17" s="46">
        <v>7</v>
      </c>
      <c r="D17" s="46">
        <v>4270</v>
      </c>
    </row>
    <row r="18" spans="2:4" x14ac:dyDescent="0.2">
      <c r="B18" s="46">
        <v>31</v>
      </c>
      <c r="C18" s="46">
        <v>8</v>
      </c>
      <c r="D18" s="46">
        <v>2130</v>
      </c>
    </row>
    <row r="19" spans="2:4" x14ac:dyDescent="0.2">
      <c r="B19" s="46">
        <v>31</v>
      </c>
      <c r="C19" s="46">
        <v>21</v>
      </c>
      <c r="D19" s="46">
        <v>770</v>
      </c>
    </row>
    <row r="20" spans="2:4" x14ac:dyDescent="0.2">
      <c r="B20" s="46">
        <v>31</v>
      </c>
      <c r="C20" s="46">
        <v>0</v>
      </c>
      <c r="D20" s="46">
        <v>9185</v>
      </c>
    </row>
    <row r="21" spans="2:4" x14ac:dyDescent="0.2">
      <c r="B21" s="46">
        <v>31</v>
      </c>
      <c r="C21" s="46">
        <v>1</v>
      </c>
      <c r="D21" s="46">
        <v>987</v>
      </c>
    </row>
    <row r="22" spans="2:4" x14ac:dyDescent="0.2">
      <c r="B22" s="46">
        <v>31</v>
      </c>
      <c r="C22" s="46">
        <v>2</v>
      </c>
      <c r="D22" s="46">
        <v>13612</v>
      </c>
    </row>
    <row r="23" spans="2:4" x14ac:dyDescent="0.2">
      <c r="B23" s="46">
        <v>31</v>
      </c>
      <c r="C23" s="46">
        <v>5</v>
      </c>
      <c r="D23" s="46">
        <v>222007</v>
      </c>
    </row>
    <row r="24" spans="2:4" x14ac:dyDescent="0.2">
      <c r="B24" s="46">
        <v>31</v>
      </c>
      <c r="C24" s="46">
        <v>7</v>
      </c>
      <c r="D24" s="46">
        <v>2050</v>
      </c>
    </row>
    <row r="25" spans="2:4" x14ac:dyDescent="0.2">
      <c r="B25" s="46">
        <v>31</v>
      </c>
      <c r="C25" s="46">
        <v>8</v>
      </c>
      <c r="D25" s="46">
        <v>840</v>
      </c>
    </row>
    <row r="26" spans="2:4" x14ac:dyDescent="0.2">
      <c r="B26" s="46">
        <v>31</v>
      </c>
      <c r="C26" s="46">
        <v>21</v>
      </c>
      <c r="D26" s="46">
        <v>2085</v>
      </c>
    </row>
    <row r="27" spans="2:4" x14ac:dyDescent="0.2">
      <c r="B27" s="46">
        <v>31</v>
      </c>
      <c r="C27" s="46">
        <v>0</v>
      </c>
      <c r="D27" s="46">
        <v>12759</v>
      </c>
    </row>
    <row r="28" spans="2:4" x14ac:dyDescent="0.2">
      <c r="B28" s="46">
        <v>31</v>
      </c>
      <c r="C28" s="46">
        <v>1</v>
      </c>
      <c r="D28" s="46">
        <v>958</v>
      </c>
    </row>
    <row r="29" spans="2:4" x14ac:dyDescent="0.2">
      <c r="B29" s="46">
        <v>31</v>
      </c>
      <c r="C29" s="46">
        <v>2</v>
      </c>
      <c r="D29" s="46">
        <v>32645</v>
      </c>
    </row>
    <row r="30" spans="2:4" x14ac:dyDescent="0.2">
      <c r="B30" s="46">
        <v>31</v>
      </c>
      <c r="C30" s="46">
        <v>5</v>
      </c>
      <c r="D30" s="46">
        <v>364198</v>
      </c>
    </row>
    <row r="31" spans="2:4" x14ac:dyDescent="0.2">
      <c r="B31" s="46">
        <v>31</v>
      </c>
      <c r="C31" s="46">
        <v>7</v>
      </c>
      <c r="D31" s="46">
        <v>940</v>
      </c>
    </row>
    <row r="32" spans="2:4" x14ac:dyDescent="0.2">
      <c r="B32" s="46">
        <v>31</v>
      </c>
      <c r="C32" s="46">
        <v>8</v>
      </c>
      <c r="D32" s="46">
        <v>3390</v>
      </c>
    </row>
    <row r="33" spans="2:4" x14ac:dyDescent="0.2">
      <c r="B33" s="46">
        <v>31</v>
      </c>
      <c r="C33" s="46">
        <v>21</v>
      </c>
      <c r="D33" s="46">
        <v>7790</v>
      </c>
    </row>
    <row r="34" spans="2:4" x14ac:dyDescent="0.2">
      <c r="B34" s="46">
        <v>62</v>
      </c>
      <c r="C34" s="46">
        <v>5</v>
      </c>
      <c r="D34" s="46">
        <v>5560</v>
      </c>
    </row>
    <row r="35" spans="2:4" x14ac:dyDescent="0.2">
      <c r="B35" s="46">
        <v>62</v>
      </c>
      <c r="C35" s="46">
        <v>5</v>
      </c>
      <c r="D35" s="46">
        <v>3600</v>
      </c>
    </row>
    <row r="36" spans="2:4" x14ac:dyDescent="0.2">
      <c r="B36" s="46">
        <v>62</v>
      </c>
      <c r="C36" s="46">
        <v>5</v>
      </c>
      <c r="D36" s="46">
        <v>6160</v>
      </c>
    </row>
    <row r="37" spans="2:4" x14ac:dyDescent="0.2">
      <c r="B37" s="46">
        <v>65</v>
      </c>
      <c r="C37" s="46">
        <v>0</v>
      </c>
      <c r="D37" s="46">
        <v>25464</v>
      </c>
    </row>
    <row r="38" spans="2:4" x14ac:dyDescent="0.2">
      <c r="B38" s="46">
        <v>65</v>
      </c>
      <c r="C38" s="46">
        <v>0</v>
      </c>
      <c r="D38" s="46">
        <v>18478</v>
      </c>
    </row>
    <row r="39" spans="2:4" x14ac:dyDescent="0.2">
      <c r="B39" s="46">
        <v>65</v>
      </c>
      <c r="C39" s="46">
        <v>0</v>
      </c>
      <c r="D39" s="46">
        <v>32684</v>
      </c>
    </row>
    <row r="40" spans="2:4" x14ac:dyDescent="0.2">
      <c r="B40" s="46">
        <v>899</v>
      </c>
      <c r="C40" s="46">
        <v>0</v>
      </c>
      <c r="D40" s="46">
        <v>7123.5</v>
      </c>
    </row>
    <row r="41" spans="2:4" x14ac:dyDescent="0.2">
      <c r="B41" s="46">
        <v>899</v>
      </c>
      <c r="C41" s="46">
        <v>2</v>
      </c>
      <c r="D41" s="46">
        <v>5508</v>
      </c>
    </row>
    <row r="42" spans="2:4" x14ac:dyDescent="0.2">
      <c r="B42" s="46">
        <v>899</v>
      </c>
      <c r="C42" s="46">
        <v>5</v>
      </c>
      <c r="D42" s="46">
        <v>2250</v>
      </c>
    </row>
    <row r="43" spans="2:4" x14ac:dyDescent="0.2">
      <c r="B43" s="46">
        <v>899</v>
      </c>
      <c r="C43" s="46">
        <v>8</v>
      </c>
      <c r="D43" s="46">
        <v>216</v>
      </c>
    </row>
    <row r="44" spans="2:4" x14ac:dyDescent="0.2">
      <c r="B44" s="46">
        <v>899</v>
      </c>
      <c r="C44" s="46">
        <v>0</v>
      </c>
      <c r="D44" s="46">
        <v>3513.6</v>
      </c>
    </row>
    <row r="45" spans="2:4" x14ac:dyDescent="0.2">
      <c r="B45" s="46">
        <v>899</v>
      </c>
      <c r="C45" s="46">
        <v>2</v>
      </c>
      <c r="D45" s="46">
        <v>2538</v>
      </c>
    </row>
    <row r="46" spans="2:4" x14ac:dyDescent="0.2">
      <c r="B46" s="46">
        <v>899</v>
      </c>
      <c r="C46" s="46">
        <v>5</v>
      </c>
      <c r="D46" s="46">
        <v>987.75</v>
      </c>
    </row>
    <row r="47" spans="2:4" x14ac:dyDescent="0.2">
      <c r="B47" s="46">
        <v>899</v>
      </c>
      <c r="C47" s="46">
        <v>0</v>
      </c>
      <c r="D47" s="46">
        <v>5019.3</v>
      </c>
    </row>
    <row r="48" spans="2:4" x14ac:dyDescent="0.2">
      <c r="B48" s="46">
        <v>899</v>
      </c>
      <c r="C48" s="46">
        <v>1</v>
      </c>
      <c r="D48" s="46">
        <v>405</v>
      </c>
    </row>
    <row r="49" spans="2:4" x14ac:dyDescent="0.2">
      <c r="B49" s="46">
        <v>899</v>
      </c>
      <c r="C49" s="46">
        <v>2</v>
      </c>
      <c r="D49" s="46">
        <v>3537</v>
      </c>
    </row>
    <row r="50" spans="2:4" x14ac:dyDescent="0.2">
      <c r="B50" s="46">
        <v>899</v>
      </c>
      <c r="C50" s="46">
        <v>5</v>
      </c>
      <c r="D50" s="46">
        <v>4233.75</v>
      </c>
    </row>
    <row r="51" spans="2:4" x14ac:dyDescent="0.2">
      <c r="B51" s="46">
        <v>901</v>
      </c>
      <c r="C51" s="46">
        <v>0</v>
      </c>
      <c r="D51" s="46">
        <v>33163.5</v>
      </c>
    </row>
    <row r="52" spans="2:4" x14ac:dyDescent="0.2">
      <c r="B52" s="46">
        <v>901</v>
      </c>
      <c r="C52" s="46">
        <v>5</v>
      </c>
      <c r="D52" s="46">
        <v>5345</v>
      </c>
    </row>
    <row r="53" spans="2:4" x14ac:dyDescent="0.2">
      <c r="B53" s="46">
        <v>901</v>
      </c>
      <c r="C53" s="46">
        <v>0</v>
      </c>
      <c r="D53" s="46">
        <v>18704.3</v>
      </c>
    </row>
    <row r="54" spans="2:4" x14ac:dyDescent="0.2">
      <c r="B54" s="46">
        <v>901</v>
      </c>
      <c r="C54" s="46">
        <v>5</v>
      </c>
      <c r="D54" s="46">
        <v>2192.5</v>
      </c>
    </row>
    <row r="55" spans="2:4" x14ac:dyDescent="0.2">
      <c r="B55" s="46">
        <v>901</v>
      </c>
      <c r="C55" s="46">
        <v>0</v>
      </c>
      <c r="D55" s="46">
        <v>34579.5</v>
      </c>
    </row>
    <row r="56" spans="2:4" x14ac:dyDescent="0.2">
      <c r="B56" s="46">
        <v>901</v>
      </c>
      <c r="C56" s="46">
        <v>5</v>
      </c>
      <c r="D56" s="46">
        <v>6627.5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15"/>
  <sheetViews>
    <sheetView rightToLeft="1" workbookViewId="0">
      <selection activeCell="G17" sqref="G17"/>
    </sheetView>
  </sheetViews>
  <sheetFormatPr defaultRowHeight="14.25" x14ac:dyDescent="0.2"/>
  <cols>
    <col min="1" max="1" width="1.375" customWidth="1"/>
    <col min="2" max="3" width="9.625" customWidth="1"/>
    <col min="4" max="5" width="9.625" style="23" customWidth="1"/>
    <col min="6" max="6" width="12.375" style="23" bestFit="1" customWidth="1"/>
  </cols>
  <sheetData>
    <row r="1" spans="2:10" ht="15" thickBot="1" x14ac:dyDescent="0.25"/>
    <row r="2" spans="2:10" ht="15.75" x14ac:dyDescent="0.2">
      <c r="B2" s="587" t="s">
        <v>480</v>
      </c>
      <c r="C2" s="588"/>
      <c r="D2" s="588"/>
      <c r="E2" s="282"/>
      <c r="F2" s="283" t="s">
        <v>657</v>
      </c>
    </row>
    <row r="3" spans="2:10" ht="15.75" x14ac:dyDescent="0.2">
      <c r="B3" s="589"/>
      <c r="C3" s="590"/>
      <c r="D3" s="590"/>
      <c r="E3" s="170"/>
      <c r="F3" s="76" t="s">
        <v>430</v>
      </c>
    </row>
    <row r="4" spans="2:10" x14ac:dyDescent="0.2">
      <c r="B4" s="584"/>
      <c r="C4" s="585"/>
      <c r="D4" s="585"/>
      <c r="E4" s="585"/>
      <c r="F4" s="586"/>
      <c r="G4" s="25"/>
      <c r="H4" s="25"/>
      <c r="I4" s="25"/>
      <c r="J4" s="25"/>
    </row>
    <row r="5" spans="2:10" ht="15" x14ac:dyDescent="0.25">
      <c r="B5" s="605" t="s">
        <v>455</v>
      </c>
      <c r="C5" s="606"/>
      <c r="D5" s="606"/>
      <c r="E5" s="606"/>
      <c r="F5" s="284"/>
    </row>
    <row r="6" spans="2:10" ht="14.25" customHeight="1" x14ac:dyDescent="0.2">
      <c r="B6" s="603" t="s">
        <v>416</v>
      </c>
      <c r="C6" s="604"/>
      <c r="D6" s="604"/>
      <c r="E6" s="604"/>
      <c r="F6" s="285">
        <f>خلاصة!O5-' جهات'!K519</f>
        <v>0</v>
      </c>
    </row>
    <row r="7" spans="2:10" ht="14.25" customHeight="1" x14ac:dyDescent="0.2">
      <c r="B7" s="601" t="s">
        <v>417</v>
      </c>
      <c r="C7" s="602"/>
      <c r="D7" s="602"/>
      <c r="E7" s="602"/>
      <c r="F7" s="285">
        <f>خلاصة!O6-' جهات'!K520</f>
        <v>0</v>
      </c>
    </row>
    <row r="8" spans="2:10" ht="14.25" customHeight="1" x14ac:dyDescent="0.2">
      <c r="B8" s="599" t="s">
        <v>418</v>
      </c>
      <c r="C8" s="600"/>
      <c r="D8" s="600"/>
      <c r="E8" s="600"/>
      <c r="F8" s="285">
        <f>خلاصة!O7-' جهات'!K521</f>
        <v>0</v>
      </c>
    </row>
    <row r="9" spans="2:10" ht="14.25" customHeight="1" x14ac:dyDescent="0.2">
      <c r="B9" s="597" t="s">
        <v>419</v>
      </c>
      <c r="C9" s="598"/>
      <c r="D9" s="598"/>
      <c r="E9" s="598"/>
      <c r="F9" s="285">
        <f>خلاصة!O8-' جهات'!K522</f>
        <v>0</v>
      </c>
    </row>
    <row r="10" spans="2:10" ht="14.25" customHeight="1" x14ac:dyDescent="0.2">
      <c r="B10" s="593" t="s">
        <v>600</v>
      </c>
      <c r="C10" s="594"/>
      <c r="D10" s="594"/>
      <c r="E10" s="594"/>
      <c r="F10" s="286">
        <f>خلاصة!O9-' جهات'!K523</f>
        <v>0</v>
      </c>
    </row>
    <row r="11" spans="2:10" ht="15" customHeight="1" x14ac:dyDescent="0.2">
      <c r="B11" s="595" t="s">
        <v>408</v>
      </c>
      <c r="C11" s="596"/>
      <c r="D11" s="596"/>
      <c r="E11" s="596"/>
      <c r="F11" s="285"/>
    </row>
    <row r="12" spans="2:10" ht="14.25" customHeight="1" x14ac:dyDescent="0.2">
      <c r="B12" s="593" t="s">
        <v>563</v>
      </c>
      <c r="C12" s="594"/>
      <c r="D12" s="594"/>
      <c r="E12" s="594"/>
      <c r="F12" s="286"/>
    </row>
    <row r="13" spans="2:10" ht="14.25" customHeight="1" x14ac:dyDescent="0.2">
      <c r="B13" s="591" t="s">
        <v>432</v>
      </c>
      <c r="C13" s="592"/>
      <c r="D13" s="592"/>
      <c r="E13" s="592"/>
      <c r="F13" s="287"/>
    </row>
    <row r="14" spans="2:10" x14ac:dyDescent="0.2">
      <c r="B14" s="584"/>
      <c r="C14" s="585"/>
      <c r="D14" s="585"/>
      <c r="E14" s="585"/>
      <c r="F14" s="586"/>
    </row>
    <row r="15" spans="2:10" ht="15" thickBot="1" x14ac:dyDescent="0.25">
      <c r="B15" s="581" t="s">
        <v>597</v>
      </c>
      <c r="C15" s="582"/>
      <c r="D15" s="582"/>
      <c r="E15" s="582"/>
      <c r="F15" s="583"/>
    </row>
  </sheetData>
  <mergeCells count="13">
    <mergeCell ref="B15:F15"/>
    <mergeCell ref="B4:F4"/>
    <mergeCell ref="B14:F14"/>
    <mergeCell ref="B2:D3"/>
    <mergeCell ref="B13:E13"/>
    <mergeCell ref="B12:E12"/>
    <mergeCell ref="B11:E11"/>
    <mergeCell ref="B10:E10"/>
    <mergeCell ref="B9:E9"/>
    <mergeCell ref="B8:E8"/>
    <mergeCell ref="B7:E7"/>
    <mergeCell ref="B6:E6"/>
    <mergeCell ref="B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Q64"/>
  <sheetViews>
    <sheetView rightToLeft="1" tabSelected="1" showWhiteSpace="0" zoomScale="80" zoomScaleNormal="80" zoomScaleSheetLayoutView="80" workbookViewId="0">
      <pane ySplit="4" topLeftCell="A5" activePane="bottomLeft" state="frozen"/>
      <selection pane="bottomLeft" activeCell="C5" sqref="C5"/>
    </sheetView>
  </sheetViews>
  <sheetFormatPr defaultColWidth="9.125" defaultRowHeight="14.25" x14ac:dyDescent="0.2"/>
  <cols>
    <col min="1" max="1" width="1.625" style="333" customWidth="1"/>
    <col min="2" max="2" width="8.875" style="330" bestFit="1" customWidth="1"/>
    <col min="3" max="3" width="40.75" style="331" bestFit="1" customWidth="1"/>
    <col min="4" max="6" width="12.25" style="330" bestFit="1" customWidth="1"/>
    <col min="7" max="7" width="6.625" style="330" bestFit="1" customWidth="1"/>
    <col min="8" max="8" width="2" style="330" bestFit="1" customWidth="1"/>
    <col min="9" max="9" width="8.875" style="330" bestFit="1" customWidth="1"/>
    <col min="10" max="10" width="40.625" style="332" bestFit="1" customWidth="1"/>
    <col min="11" max="13" width="12.25" style="330" bestFit="1" customWidth="1"/>
    <col min="14" max="14" width="11" style="330" bestFit="1" customWidth="1"/>
    <col min="15" max="15" width="12.25" style="330" bestFit="1" customWidth="1"/>
    <col min="16" max="16" width="6.625" style="330" bestFit="1" customWidth="1"/>
    <col min="17" max="16384" width="9.125" style="333"/>
  </cols>
  <sheetData>
    <row r="1" spans="2:43" s="308" customFormat="1" ht="18.75" x14ac:dyDescent="0.2">
      <c r="B1" s="395" t="s">
        <v>662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</row>
    <row r="2" spans="2:43" s="308" customFormat="1" ht="15.75" x14ac:dyDescent="0.2">
      <c r="B2" s="378" t="s">
        <v>274</v>
      </c>
      <c r="C2" s="379"/>
      <c r="D2" s="379"/>
      <c r="E2" s="379"/>
      <c r="F2" s="379"/>
      <c r="G2" s="379"/>
      <c r="H2" s="309"/>
      <c r="I2" s="379" t="s">
        <v>0</v>
      </c>
      <c r="J2" s="379"/>
      <c r="K2" s="379"/>
      <c r="L2" s="379"/>
      <c r="M2" s="379"/>
      <c r="N2" s="379"/>
      <c r="O2" s="379"/>
      <c r="P2" s="380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</row>
    <row r="3" spans="2:43" s="307" customFormat="1" ht="31.5" x14ac:dyDescent="0.2">
      <c r="B3" s="398" t="s">
        <v>433</v>
      </c>
      <c r="C3" s="399" t="s">
        <v>434</v>
      </c>
      <c r="D3" s="348" t="s">
        <v>603</v>
      </c>
      <c r="E3" s="347" t="s">
        <v>605</v>
      </c>
      <c r="F3" s="348" t="s">
        <v>603</v>
      </c>
      <c r="G3" s="310" t="s">
        <v>651</v>
      </c>
      <c r="H3" s="311"/>
      <c r="I3" s="399" t="s">
        <v>433</v>
      </c>
      <c r="J3" s="399" t="s">
        <v>434</v>
      </c>
      <c r="K3" s="348" t="s">
        <v>603</v>
      </c>
      <c r="L3" s="348" t="s">
        <v>604</v>
      </c>
      <c r="M3" s="347" t="s">
        <v>605</v>
      </c>
      <c r="N3" s="348" t="s">
        <v>606</v>
      </c>
      <c r="O3" s="348" t="s">
        <v>603</v>
      </c>
      <c r="P3" s="312" t="s">
        <v>651</v>
      </c>
    </row>
    <row r="4" spans="2:43" s="307" customFormat="1" ht="15.75" x14ac:dyDescent="0.2">
      <c r="B4" s="398"/>
      <c r="C4" s="399"/>
      <c r="D4" s="379">
        <v>2019</v>
      </c>
      <c r="E4" s="379"/>
      <c r="F4" s="402">
        <v>2020</v>
      </c>
      <c r="G4" s="402"/>
      <c r="H4" s="311"/>
      <c r="I4" s="399"/>
      <c r="J4" s="399"/>
      <c r="K4" s="379">
        <v>2019</v>
      </c>
      <c r="L4" s="379"/>
      <c r="M4" s="379"/>
      <c r="N4" s="379"/>
      <c r="O4" s="402">
        <v>2020</v>
      </c>
      <c r="P4" s="403"/>
    </row>
    <row r="5" spans="2:43" s="307" customFormat="1" ht="15.75" x14ac:dyDescent="0.2">
      <c r="B5" s="313" t="s">
        <v>435</v>
      </c>
      <c r="C5" s="311" t="s">
        <v>638</v>
      </c>
      <c r="D5" s="314">
        <f>IF('ر-باب'!C6&gt;0,'ر-باب'!C6,"")</f>
        <v>20566950</v>
      </c>
      <c r="E5" s="314">
        <f>IF('ر-باب'!D6&gt;0,'ر-باب'!D6,"")</f>
        <v>19944943.774000004</v>
      </c>
      <c r="F5" s="315">
        <f>IF('ر-باب'!E6&gt;0,'ر-باب'!E6,"")</f>
        <v>21233550</v>
      </c>
      <c r="G5" s="345">
        <f t="shared" ref="G5:G11" si="0">IFERROR(F5/D5,"")</f>
        <v>1.0324112228599769</v>
      </c>
      <c r="H5" s="311"/>
      <c r="I5" s="311" t="s">
        <v>435</v>
      </c>
      <c r="J5" s="311" t="s">
        <v>436</v>
      </c>
      <c r="K5" s="314">
        <f>IF('ن-باب'!C14&gt;0,'ن-باب'!C14,"")</f>
        <v>30240863</v>
      </c>
      <c r="L5" s="314">
        <f>IF('ن-باب'!D14&gt;0,'ن-باب'!D14,"")</f>
        <v>31022863</v>
      </c>
      <c r="M5" s="314">
        <f>IF('ن-باب'!E14&gt;0,'ن-باب'!E14,"")</f>
        <v>28171808.677999999</v>
      </c>
      <c r="N5" s="314">
        <f>IF('ن-باب'!F14&gt;0,'ن-باب'!F14,"")</f>
        <v>1018108.5659999999</v>
      </c>
      <c r="O5" s="315">
        <f>IF('ن-باب'!G14&gt;0,'ن-باب'!G14,"")</f>
        <v>31092000</v>
      </c>
      <c r="P5" s="346">
        <f>IFERROR(O5/K5,"")</f>
        <v>1.0281452615952131</v>
      </c>
    </row>
    <row r="6" spans="2:43" s="307" customFormat="1" ht="15.75" x14ac:dyDescent="0.2">
      <c r="B6" s="313" t="s">
        <v>437</v>
      </c>
      <c r="C6" s="311" t="s">
        <v>231</v>
      </c>
      <c r="D6" s="314">
        <f>IF('ر-باب'!C9&gt;0,'ر-باب'!C9,"")</f>
        <v>8000000</v>
      </c>
      <c r="E6" s="314">
        <f>IF('ر-باب'!D9&gt;0,'ر-باب'!D9,"")</f>
        <v>6435957</v>
      </c>
      <c r="F6" s="315">
        <f>IF('ر-باب'!E9&gt;0,'ر-باب'!E9,"")</f>
        <v>7600000</v>
      </c>
      <c r="G6" s="345">
        <f t="shared" si="0"/>
        <v>0.95</v>
      </c>
      <c r="H6" s="311"/>
      <c r="I6" s="316" t="s">
        <v>437</v>
      </c>
      <c r="J6" s="316" t="s">
        <v>438</v>
      </c>
      <c r="K6" s="317">
        <f>IF('ن-باب'!C23&gt;0,'ن-باب'!C23,"")</f>
        <v>1891137</v>
      </c>
      <c r="L6" s="317">
        <f>IF('ن-باب'!D23&gt;0,'ن-باب'!D23,"")</f>
        <v>1891137</v>
      </c>
      <c r="M6" s="317">
        <f>IF('ن-باب'!E23&gt;0,'ن-باب'!E23,"")</f>
        <v>1322014.7219999998</v>
      </c>
      <c r="N6" s="317">
        <f>IF('ن-باب'!F23&gt;0,'ن-باب'!F23,"")</f>
        <v>505450.39499999996</v>
      </c>
      <c r="O6" s="315">
        <f>IF('ن-باب'!G23&gt;0,'ن-باب'!G23,"")</f>
        <v>2128500</v>
      </c>
      <c r="P6" s="346">
        <f>IFERROR(O6/K6,"")</f>
        <v>1.1255133816323195</v>
      </c>
    </row>
    <row r="7" spans="2:43" s="307" customFormat="1" ht="15.75" x14ac:dyDescent="0.2">
      <c r="B7" s="313" t="s">
        <v>643</v>
      </c>
      <c r="C7" s="311" t="s">
        <v>635</v>
      </c>
      <c r="D7" s="314">
        <f>IF('ر-باب'!C13&gt;0,'ر-باب'!C13,"")</f>
        <v>1738050</v>
      </c>
      <c r="E7" s="314">
        <f>IF('ر-باب'!D13&gt;0,'ر-باب'!D13,"")</f>
        <v>2159680.602</v>
      </c>
      <c r="F7" s="315">
        <f>IF('ر-باب'!E13&gt;0,'ر-باب'!E13,"")</f>
        <v>1501450</v>
      </c>
      <c r="G7" s="345">
        <f t="shared" si="0"/>
        <v>0.86387042950432957</v>
      </c>
      <c r="H7" s="311"/>
      <c r="I7" s="311" t="s">
        <v>439</v>
      </c>
      <c r="J7" s="311" t="s">
        <v>146</v>
      </c>
      <c r="K7" s="314">
        <f>IF('ن-باب'!C26&gt;0,'ن-باب'!C26,"")</f>
        <v>410000</v>
      </c>
      <c r="L7" s="314">
        <f>IF('ن-باب'!D26&gt;0,'ن-باب'!D26,"")</f>
        <v>410000</v>
      </c>
      <c r="M7" s="314">
        <f>IF('ن-باب'!E26&gt;0,'ن-باب'!E26,"")</f>
        <v>295303.71399999998</v>
      </c>
      <c r="N7" s="314" t="str">
        <f>IF('ن-باب'!F26&gt;0,'ن-باب'!F26,"")</f>
        <v/>
      </c>
      <c r="O7" s="315">
        <f>IF('ن-باب'!G26&gt;0,'ن-باب'!G26,"")</f>
        <v>310000</v>
      </c>
      <c r="P7" s="346">
        <f>IFERROR(O7/K7,"")</f>
        <v>0.75609756097560976</v>
      </c>
    </row>
    <row r="8" spans="2:43" s="307" customFormat="1" ht="15.75" x14ac:dyDescent="0.2">
      <c r="B8" s="313" t="s">
        <v>440</v>
      </c>
      <c r="C8" s="311" t="s">
        <v>214</v>
      </c>
      <c r="D8" s="314">
        <f>IF('ر-باب'!C16&gt;0,'ر-باب'!C16,"")</f>
        <v>75000</v>
      </c>
      <c r="E8" s="314">
        <f>IF('ر-باب'!D16&gt;0,'ر-باب'!D16,"")</f>
        <v>30060</v>
      </c>
      <c r="F8" s="315">
        <f>IF('ر-باب'!E16&gt;0,'ر-باب'!E16,"")</f>
        <v>75000</v>
      </c>
      <c r="G8" s="345">
        <f t="shared" si="0"/>
        <v>1</v>
      </c>
      <c r="H8" s="311"/>
      <c r="I8" s="311" t="s">
        <v>440</v>
      </c>
      <c r="J8" s="311" t="s">
        <v>441</v>
      </c>
      <c r="K8" s="314">
        <f>IF('ن-باب'!C34&gt;0,'ن-باب'!C34,"")</f>
        <v>3838000</v>
      </c>
      <c r="L8" s="314">
        <f>IF('ن-باب'!D34&gt;0,'ن-باب'!D34,"")</f>
        <v>3838000</v>
      </c>
      <c r="M8" s="314">
        <f>IF('ن-باب'!E34&gt;0,'ن-باب'!E34,"")</f>
        <v>866403.81400000001</v>
      </c>
      <c r="N8" s="314">
        <f>IF('ن-باب'!F34&gt;0,'ن-باب'!F34,"")</f>
        <v>786795.99</v>
      </c>
      <c r="O8" s="315">
        <f>IF('ن-باب'!G34&gt;0,'ن-باب'!G34,"")</f>
        <v>2193500</v>
      </c>
      <c r="P8" s="346">
        <f>IFERROR(O8/K8,"")</f>
        <v>0.57152162584679522</v>
      </c>
    </row>
    <row r="9" spans="2:43" s="307" customFormat="1" ht="15.75" x14ac:dyDescent="0.2">
      <c r="B9" s="381" t="s">
        <v>617</v>
      </c>
      <c r="C9" s="382"/>
      <c r="D9" s="318">
        <f>SUM(D5:D8)</f>
        <v>30380000</v>
      </c>
      <c r="E9" s="318">
        <f t="shared" ref="E9:F9" si="1">SUM(E5:E8)</f>
        <v>28570641.376000002</v>
      </c>
      <c r="F9" s="318">
        <f t="shared" si="1"/>
        <v>30410000</v>
      </c>
      <c r="G9" s="345">
        <f t="shared" si="0"/>
        <v>1.0009874917709018</v>
      </c>
      <c r="H9" s="311"/>
      <c r="I9" s="383" t="s">
        <v>600</v>
      </c>
      <c r="J9" s="383"/>
      <c r="K9" s="319">
        <f t="shared" ref="K9:O9" si="2">SUM(K5:K8)</f>
        <v>36380000</v>
      </c>
      <c r="L9" s="319">
        <f t="shared" si="2"/>
        <v>37162000</v>
      </c>
      <c r="M9" s="319">
        <f t="shared" si="2"/>
        <v>30655530.927999999</v>
      </c>
      <c r="N9" s="319">
        <f t="shared" si="2"/>
        <v>2310354.9509999999</v>
      </c>
      <c r="O9" s="319">
        <f t="shared" si="2"/>
        <v>35724000</v>
      </c>
      <c r="P9" s="346">
        <f>IFERROR(O9/K9,"")</f>
        <v>0.98196811434854314</v>
      </c>
    </row>
    <row r="10" spans="2:43" s="307" customFormat="1" ht="15.75" x14ac:dyDescent="0.2">
      <c r="B10" s="386" t="s">
        <v>659</v>
      </c>
      <c r="C10" s="387"/>
      <c r="D10" s="320">
        <f>IF('ر-باب'!C19&gt;0,'ر-باب'!C19,"")</f>
        <v>6000000</v>
      </c>
      <c r="E10" s="320">
        <f>IF('ر-باب'!D19&gt;0,'ر-باب'!D19,"")</f>
        <v>2084889.5519999973</v>
      </c>
      <c r="F10" s="321">
        <f>IF('ر-باب'!E19&gt;0,'ر-باب'!E19,"")</f>
        <v>5314000</v>
      </c>
      <c r="G10" s="345">
        <f t="shared" si="0"/>
        <v>0.88566666666666671</v>
      </c>
      <c r="H10" s="311"/>
      <c r="I10" s="384" t="str">
        <f>IFERROR(O10/K10,"")</f>
        <v/>
      </c>
      <c r="J10" s="384"/>
      <c r="K10" s="384"/>
      <c r="L10" s="384"/>
      <c r="M10" s="384"/>
      <c r="N10" s="384"/>
      <c r="O10" s="384"/>
      <c r="P10" s="385"/>
    </row>
    <row r="11" spans="2:43" s="307" customFormat="1" ht="15.75" x14ac:dyDescent="0.2">
      <c r="B11" s="400" t="s">
        <v>607</v>
      </c>
      <c r="C11" s="401"/>
      <c r="D11" s="318">
        <f>D9+D10</f>
        <v>36380000</v>
      </c>
      <c r="E11" s="318">
        <f t="shared" ref="E11:F11" si="3">E9+E10</f>
        <v>30655530.927999999</v>
      </c>
      <c r="F11" s="318">
        <f t="shared" si="3"/>
        <v>35724000</v>
      </c>
      <c r="G11" s="345">
        <f t="shared" si="0"/>
        <v>0.98196811434854314</v>
      </c>
      <c r="H11" s="311"/>
      <c r="I11" s="401" t="s">
        <v>607</v>
      </c>
      <c r="J11" s="401"/>
      <c r="K11" s="318">
        <f>K9</f>
        <v>36380000</v>
      </c>
      <c r="L11" s="318">
        <f t="shared" ref="L11:O11" si="4">L9</f>
        <v>37162000</v>
      </c>
      <c r="M11" s="318">
        <f t="shared" si="4"/>
        <v>30655530.927999999</v>
      </c>
      <c r="N11" s="318">
        <f t="shared" si="4"/>
        <v>2310354.9509999999</v>
      </c>
      <c r="O11" s="318">
        <f t="shared" si="4"/>
        <v>35724000</v>
      </c>
      <c r="P11" s="346">
        <f>IFERROR(O11/K11,"")</f>
        <v>0.98196811434854314</v>
      </c>
    </row>
    <row r="12" spans="2:43" s="307" customFormat="1" ht="15.75" x14ac:dyDescent="0.2">
      <c r="B12" s="388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90"/>
    </row>
    <row r="13" spans="2:43" s="307" customFormat="1" ht="15.75" x14ac:dyDescent="0.2">
      <c r="B13" s="378" t="s">
        <v>599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80"/>
    </row>
    <row r="14" spans="2:43" s="307" customFormat="1" ht="15.75" x14ac:dyDescent="0.2">
      <c r="B14" s="378" t="s">
        <v>601</v>
      </c>
      <c r="C14" s="379"/>
      <c r="D14" s="379"/>
      <c r="E14" s="379"/>
      <c r="F14" s="379"/>
      <c r="G14" s="379"/>
      <c r="H14" s="309"/>
      <c r="I14" s="379" t="s">
        <v>602</v>
      </c>
      <c r="J14" s="379"/>
      <c r="K14" s="379"/>
      <c r="L14" s="379"/>
      <c r="M14" s="379"/>
      <c r="N14" s="379"/>
      <c r="O14" s="379"/>
      <c r="P14" s="380"/>
    </row>
    <row r="15" spans="2:43" s="307" customFormat="1" ht="15.75" x14ac:dyDescent="0.2">
      <c r="B15" s="313" t="s">
        <v>644</v>
      </c>
      <c r="C15" s="322" t="str">
        <f>'ر-فرعي'!E160</f>
        <v>تسهيلات بنكية/جاري مدين</v>
      </c>
      <c r="D15" s="314">
        <f>IF('ر-فرعي'!F160&gt;0,'ر-فرعي'!F160,"")</f>
        <v>4000000</v>
      </c>
      <c r="E15" s="314">
        <f>IF('ر-فرعي'!G160&gt;0,'ر-فرعي'!G160,"")</f>
        <v>4236841.9970000004</v>
      </c>
      <c r="F15" s="315">
        <f>IF('ر-فرعي'!H160&gt;0,'ر-فرعي'!H160,"")</f>
        <v>7000000</v>
      </c>
      <c r="G15" s="345">
        <f>IFERROR(F15/D15,"")</f>
        <v>1.75</v>
      </c>
      <c r="H15" s="345"/>
      <c r="I15" s="311" t="s">
        <v>644</v>
      </c>
      <c r="J15" s="322" t="str">
        <f>'ن-فرعي'!E367</f>
        <v>تسديد قرض صندوق الادخار/جامعة آل البيت (المستحق)</v>
      </c>
      <c r="K15" s="314">
        <f>IF('ن-فرعي'!F367&gt;0,'ن-فرعي'!F367,"")</f>
        <v>2000000</v>
      </c>
      <c r="L15" s="314">
        <f>IF('ن-فرعي'!G367&gt;0,'ن-فرعي'!G367,"")</f>
        <v>795000</v>
      </c>
      <c r="M15" s="314">
        <f>IF('ن-فرعي'!H367&gt;0,'ن-فرعي'!H367,"")</f>
        <v>50000</v>
      </c>
      <c r="N15" s="314" t="str">
        <f>IF('ن-فرعي'!I367&gt;0,'ن-فرعي'!I367,"")</f>
        <v/>
      </c>
      <c r="O15" s="315">
        <f>IF('ن-فرعي'!J367&gt;0,'ن-فرعي'!J367,"")</f>
        <v>1900000</v>
      </c>
      <c r="P15" s="346">
        <f>IFERROR(O15/K15,"")</f>
        <v>0.95</v>
      </c>
    </row>
    <row r="16" spans="2:43" s="307" customFormat="1" ht="31.5" x14ac:dyDescent="0.2">
      <c r="B16" s="311" t="s">
        <v>645</v>
      </c>
      <c r="C16" s="322" t="str">
        <f>'ر-فرعي'!E161</f>
        <v>قرض  بنك القاهرة عمان/ سلفة البنك المركزي للجامعات الحكومية</v>
      </c>
      <c r="D16" s="314" t="str">
        <f>IF('ر-فرعي'!F161&gt;0,'ر-فرعي'!F161,"")</f>
        <v/>
      </c>
      <c r="E16" s="314" t="str">
        <f>IF('ر-فرعي'!G161&gt;0,'ر-فرعي'!G161,"")</f>
        <v/>
      </c>
      <c r="F16" s="315">
        <f>IF('ر-فرعي'!H161&gt;0,'ر-فرعي'!H161,"")</f>
        <v>2000000</v>
      </c>
      <c r="G16" s="372" t="str">
        <f>IFERROR(F16/D16,"")</f>
        <v/>
      </c>
      <c r="H16" s="372"/>
      <c r="I16" s="311" t="s">
        <v>645</v>
      </c>
      <c r="J16" s="322" t="str">
        <f>'ن-فرعي'!E368</f>
        <v>تسديد قرض بنك القاهرة عمان/ سلفة البنك المركزي للجامعات الحكومية 2 مليون دينار</v>
      </c>
      <c r="K16" s="314" t="str">
        <f>IF('ن-فرعي'!F368&gt;0,'ن-فرعي'!F368,"")</f>
        <v/>
      </c>
      <c r="L16" s="314" t="str">
        <f>IF('ن-فرعي'!G368&gt;0,'ن-فرعي'!G368,"")</f>
        <v/>
      </c>
      <c r="M16" s="314" t="str">
        <f>IF('ن-فرعي'!H368&gt;0,'ن-فرعي'!H368,"")</f>
        <v/>
      </c>
      <c r="N16" s="314" t="str">
        <f>IF('ن-فرعي'!I368&gt;0,'ن-فرعي'!I368,"")</f>
        <v/>
      </c>
      <c r="O16" s="315" t="str">
        <f>IF('ن-فرعي'!J368&gt;0,'ن-فرعي'!J368,"")</f>
        <v/>
      </c>
      <c r="P16" s="373" t="str">
        <f t="shared" ref="P16:P18" si="5">IFERROR(O16/K16,"")</f>
        <v/>
      </c>
    </row>
    <row r="17" spans="2:43" s="307" customFormat="1" ht="15.75" x14ac:dyDescent="0.2">
      <c r="B17" s="311" t="s">
        <v>646</v>
      </c>
      <c r="C17" s="322" t="str">
        <f>'ر-فرعي'!E162</f>
        <v>سلفة وزارة المالية</v>
      </c>
      <c r="D17" s="314">
        <f>IF('ر-فرعي'!F162&gt;0,'ر-فرعي'!F162,"")</f>
        <v>500000</v>
      </c>
      <c r="E17" s="314">
        <f>IF('ر-فرعي'!G162&gt;0,'ر-فرعي'!G162,"")</f>
        <v>500000</v>
      </c>
      <c r="F17" s="315" t="str">
        <f>IF('ر-فرعي'!H162&gt;0,'ر-فرعي'!H162,"")</f>
        <v/>
      </c>
      <c r="G17" s="345" t="str">
        <f t="shared" ref="G17:G20" si="6">IFERROR(F17/D17,"")</f>
        <v/>
      </c>
      <c r="H17" s="345"/>
      <c r="I17" s="311" t="s">
        <v>646</v>
      </c>
      <c r="J17" s="377" t="str">
        <f>'ن-فرعي'!E369</f>
        <v>تسديد سلفة وزارة المالية</v>
      </c>
      <c r="K17" s="314" t="str">
        <f>IF('ن-فرعي'!F369&gt;0,'ن-فرعي'!F369,"")</f>
        <v/>
      </c>
      <c r="L17" s="314" t="str">
        <f>IF('ن-فرعي'!G369&gt;0,'ن-فرعي'!G369,"")</f>
        <v/>
      </c>
      <c r="M17" s="314" t="str">
        <f>IF('ن-فرعي'!H369&gt;0,'ن-فرعي'!H369,"")</f>
        <v/>
      </c>
      <c r="N17" s="314" t="str">
        <f>IF('ن-فرعي'!I369&gt;0,'ن-فرعي'!I369,"")</f>
        <v/>
      </c>
      <c r="O17" s="315">
        <f>IF('ن-فرعي'!J369&gt;0,'ن-فرعي'!J369,"")</f>
        <v>500000</v>
      </c>
      <c r="P17" s="373" t="str">
        <f t="shared" si="5"/>
        <v/>
      </c>
    </row>
    <row r="18" spans="2:43" s="307" customFormat="1" ht="15.75" x14ac:dyDescent="0.2">
      <c r="B18" s="350" t="s">
        <v>678</v>
      </c>
      <c r="C18" s="322" t="str">
        <f>'ر-فرعي'!E163</f>
        <v>عجز موازنة التمويل</v>
      </c>
      <c r="D18" s="323">
        <f>IF('ر-فرعي'!F163&gt;0,'ر-فرعي'!F163,"")</f>
        <v>11500000</v>
      </c>
      <c r="E18" s="323">
        <f>IF('ر-فرعي'!G163&gt;0,'ر-فرعي'!G163,"")</f>
        <v>9053750.3260000013</v>
      </c>
      <c r="F18" s="315">
        <f>IF('ر-فرعي'!H163&gt;0,'ر-فرعي'!H163,"")</f>
        <v>14090000</v>
      </c>
      <c r="G18" s="345">
        <f t="shared" si="6"/>
        <v>1.2252173913043478</v>
      </c>
      <c r="H18" s="345"/>
      <c r="I18" s="350" t="s">
        <v>678</v>
      </c>
      <c r="J18" s="322" t="str">
        <f>'ن-فرعي'!E370</f>
        <v>تسديد عجز موازنة السنة المالية  الحالية</v>
      </c>
      <c r="K18" s="314" t="str">
        <f>IF('ن-فرعي'!F370&gt;0,'ن-فرعي'!F370,"")</f>
        <v/>
      </c>
      <c r="L18" s="314" t="str">
        <f>IF('ن-فرعي'!G370&gt;0,'ن-فرعي'!G370,"")</f>
        <v/>
      </c>
      <c r="M18" s="314" t="str">
        <f>IF('ن-فرعي'!H370&gt;0,'ن-فرعي'!H370,"")</f>
        <v/>
      </c>
      <c r="N18" s="314" t="str">
        <f>IF('ن-فرعي'!I370&gt;0,'ن-فرعي'!I370,"")</f>
        <v/>
      </c>
      <c r="O18" s="315">
        <f>IF('ن-فرعي'!J370&gt;0,'ن-فرعي'!J370,"")</f>
        <v>5314000</v>
      </c>
      <c r="P18" s="373" t="str">
        <f t="shared" si="5"/>
        <v/>
      </c>
    </row>
    <row r="19" spans="2:43" s="307" customFormat="1" ht="15.75" x14ac:dyDescent="0.2">
      <c r="B19" s="393" t="s">
        <v>660</v>
      </c>
      <c r="C19" s="394"/>
      <c r="D19" s="320">
        <f>SUM(D15:D18)</f>
        <v>16000000</v>
      </c>
      <c r="E19" s="320">
        <f>SUM(E15:E18)</f>
        <v>13790592.323000003</v>
      </c>
      <c r="F19" s="321">
        <f>SUM(F15:F18)</f>
        <v>23090000</v>
      </c>
      <c r="G19" s="345">
        <f>IFERROR(F19/D19,"")</f>
        <v>1.443125</v>
      </c>
      <c r="H19" s="345"/>
      <c r="I19" s="311" t="s">
        <v>689</v>
      </c>
      <c r="J19" s="322" t="str">
        <f>'ن-فرعي'!E371</f>
        <v>تسديد ذمة عجز موازنة التمويل المتراكم</v>
      </c>
      <c r="K19" s="314">
        <f>IF('ن-فرعي'!F371&gt;0,'ن-فرعي'!F371,"")</f>
        <v>14000000</v>
      </c>
      <c r="L19" s="314">
        <f>IF('ن-فرعي'!G371&gt;0,'ن-فرعي'!G371,"")</f>
        <v>14000000</v>
      </c>
      <c r="M19" s="314">
        <f>IF('ن-فرعي'!H371&gt;0,'ن-فرعي'!H371,"")</f>
        <v>13740592.323000001</v>
      </c>
      <c r="N19" s="314" t="str">
        <f>IF('ن-فرعي'!I371&gt;0,'ن-فرعي'!I371,"")</f>
        <v/>
      </c>
      <c r="O19" s="315">
        <f>IF('ن-فرعي'!J371&gt;0,'ن-فرعي'!J371,"")</f>
        <v>15376000</v>
      </c>
      <c r="P19" s="346">
        <f t="shared" ref="P19:P20" si="7">IFERROR(O19/K19,"")</f>
        <v>1.0982857142857143</v>
      </c>
    </row>
    <row r="20" spans="2:43" s="307" customFormat="1" ht="15.75" x14ac:dyDescent="0.2">
      <c r="B20" s="391" t="s">
        <v>608</v>
      </c>
      <c r="C20" s="392"/>
      <c r="D20" s="324">
        <f>SUM(D19)</f>
        <v>16000000</v>
      </c>
      <c r="E20" s="324">
        <f>SUM(E19)</f>
        <v>13790592.323000003</v>
      </c>
      <c r="F20" s="324">
        <f>SUM(F19)</f>
        <v>23090000</v>
      </c>
      <c r="G20" s="345">
        <f t="shared" si="6"/>
        <v>1.443125</v>
      </c>
      <c r="H20" s="345"/>
      <c r="I20" s="392" t="s">
        <v>608</v>
      </c>
      <c r="J20" s="392"/>
      <c r="K20" s="325">
        <f>SUM(K15:K19)</f>
        <v>16000000</v>
      </c>
      <c r="L20" s="325">
        <f>SUM(L15:L19)</f>
        <v>14795000</v>
      </c>
      <c r="M20" s="325">
        <f>SUM(M15:M19)</f>
        <v>13790592.323000001</v>
      </c>
      <c r="N20" s="325">
        <f>SUM(N15:N19)</f>
        <v>0</v>
      </c>
      <c r="O20" s="325">
        <f>SUM(O15:O19)</f>
        <v>23090000</v>
      </c>
      <c r="P20" s="346">
        <f t="shared" si="7"/>
        <v>1.443125</v>
      </c>
    </row>
    <row r="21" spans="2:43" s="307" customFormat="1" ht="15.75" x14ac:dyDescent="0.2">
      <c r="B21" s="388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90"/>
    </row>
    <row r="22" spans="2:43" s="307" customFormat="1" ht="15.75" x14ac:dyDescent="0.2">
      <c r="B22" s="378" t="s">
        <v>611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80"/>
    </row>
    <row r="23" spans="2:43" s="307" customFormat="1" ht="15.75" x14ac:dyDescent="0.2">
      <c r="B23" s="378" t="s">
        <v>652</v>
      </c>
      <c r="C23" s="379"/>
      <c r="D23" s="379"/>
      <c r="E23" s="379"/>
      <c r="F23" s="379"/>
      <c r="G23" s="379"/>
      <c r="H23" s="309"/>
      <c r="I23" s="379" t="s">
        <v>609</v>
      </c>
      <c r="J23" s="379"/>
      <c r="K23" s="379"/>
      <c r="L23" s="379"/>
      <c r="M23" s="379"/>
      <c r="N23" s="379"/>
      <c r="O23" s="379"/>
      <c r="P23" s="380"/>
    </row>
    <row r="24" spans="2:43" s="307" customFormat="1" ht="15.75" x14ac:dyDescent="0.2">
      <c r="B24" s="313" t="s">
        <v>644</v>
      </c>
      <c r="C24" s="311" t="s">
        <v>649</v>
      </c>
      <c r="D24" s="314">
        <f>IF('ر-باب'!C30&gt;0,'ر-باب'!C30,"")</f>
        <v>10500000</v>
      </c>
      <c r="E24" s="314">
        <f>IF('ر-باب'!D30&gt;0,'ر-باب'!D30,"")</f>
        <v>1619730.4639999999</v>
      </c>
      <c r="F24" s="315">
        <f>IF('ر-باب'!E30&gt;0,'ر-باب'!E30,"")</f>
        <v>8500000</v>
      </c>
      <c r="G24" s="345">
        <f>IFERROR(F24/D24,"")</f>
        <v>0.80952380952380953</v>
      </c>
      <c r="H24" s="311"/>
      <c r="I24" s="311" t="s">
        <v>644</v>
      </c>
      <c r="J24" s="311" t="s">
        <v>647</v>
      </c>
      <c r="K24" s="314">
        <f>IF('ن-باب'!C44&gt;0,'ن-باب'!C44,"")</f>
        <v>10500000</v>
      </c>
      <c r="L24" s="314">
        <f>IF('ن-باب'!D44&gt;0,'ن-باب'!D44,"")</f>
        <v>10500000</v>
      </c>
      <c r="M24" s="314">
        <f>IF('ن-باب'!E44&gt;0,'ن-باب'!E44,"")</f>
        <v>1619730.4639999999</v>
      </c>
      <c r="N24" s="314">
        <f>IF('ن-باب'!F44&gt;0,'ن-باب'!F44,"")</f>
        <v>475436.56599999999</v>
      </c>
      <c r="O24" s="315">
        <f>IF('ن-باب'!G44&gt;0,'ن-باب'!G44,"")</f>
        <v>8500000</v>
      </c>
      <c r="P24" s="346">
        <f>IFERROR(O24/K24,"")</f>
        <v>0.80952380952380953</v>
      </c>
    </row>
    <row r="25" spans="2:43" s="307" customFormat="1" ht="15.75" x14ac:dyDescent="0.2">
      <c r="B25" s="313" t="s">
        <v>645</v>
      </c>
      <c r="C25" s="311" t="s">
        <v>650</v>
      </c>
      <c r="D25" s="314">
        <f>IF('ر-باب'!C31&gt;0,'ر-باب'!C31,"")</f>
        <v>1120000</v>
      </c>
      <c r="E25" s="314">
        <f>IF('ر-باب'!D31&gt;0,'ر-باب'!D31,"")</f>
        <v>1503386.7000000002</v>
      </c>
      <c r="F25" s="315">
        <f>IF('ر-باب'!E31&gt;0,'ر-باب'!E31,"")</f>
        <v>1500000</v>
      </c>
      <c r="G25" s="345">
        <f>IFERROR(F25/D25,"")</f>
        <v>1.3392857142857142</v>
      </c>
      <c r="H25" s="311"/>
      <c r="I25" s="311" t="s">
        <v>645</v>
      </c>
      <c r="J25" s="311" t="s">
        <v>648</v>
      </c>
      <c r="K25" s="314">
        <f>IF('ن-باب'!C45&gt;0,'ن-باب'!C45,"")</f>
        <v>1120000</v>
      </c>
      <c r="L25" s="314">
        <f>IF('ن-باب'!D45&gt;0,'ن-باب'!D45,"")</f>
        <v>1543000</v>
      </c>
      <c r="M25" s="314">
        <f>IF('ن-باب'!E45&gt;0,'ن-باب'!E45,"")</f>
        <v>1503386.7000000002</v>
      </c>
      <c r="N25" s="314" t="str">
        <f>IF('ن-باب'!F45&gt;0,'ن-باب'!F45,"")</f>
        <v/>
      </c>
      <c r="O25" s="315">
        <f>IF('ن-باب'!G45&gt;0,'ن-باب'!G45,"")</f>
        <v>1500000</v>
      </c>
      <c r="P25" s="346">
        <f>IFERROR(O25/K25,"")</f>
        <v>1.3392857142857142</v>
      </c>
    </row>
    <row r="26" spans="2:43" s="307" customFormat="1" ht="16.5" thickBot="1" x14ac:dyDescent="0.25">
      <c r="B26" s="404" t="s">
        <v>658</v>
      </c>
      <c r="C26" s="405"/>
      <c r="D26" s="326">
        <f>SUM(D24:D25)</f>
        <v>11620000</v>
      </c>
      <c r="E26" s="326">
        <f t="shared" ref="E26" si="8">SUM(E24:E25)</f>
        <v>3123117.1639999999</v>
      </c>
      <c r="F26" s="326">
        <f>SUM(F24:F25)</f>
        <v>10000000</v>
      </c>
      <c r="G26" s="327">
        <f>IFERROR(F26/D26,"")</f>
        <v>0.86058519793459554</v>
      </c>
      <c r="H26" s="328"/>
      <c r="I26" s="405" t="s">
        <v>658</v>
      </c>
      <c r="J26" s="405"/>
      <c r="K26" s="326">
        <f>SUM(K24:K25)</f>
        <v>11620000</v>
      </c>
      <c r="L26" s="326">
        <f t="shared" ref="L26:O26" si="9">SUM(L24:L25)</f>
        <v>12043000</v>
      </c>
      <c r="M26" s="326">
        <f t="shared" si="9"/>
        <v>3123117.1639999999</v>
      </c>
      <c r="N26" s="326">
        <f t="shared" si="9"/>
        <v>475436.56599999999</v>
      </c>
      <c r="O26" s="326">
        <f t="shared" si="9"/>
        <v>10000000</v>
      </c>
      <c r="P26" s="329">
        <f>IFERROR(O26/K26,"")</f>
        <v>0.86058519793459554</v>
      </c>
    </row>
    <row r="27" spans="2:43" ht="15.75" x14ac:dyDescent="0.2"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</row>
    <row r="28" spans="2:43" ht="15.75" x14ac:dyDescent="0.2"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</row>
    <row r="29" spans="2:43" ht="15.75" x14ac:dyDescent="0.2">
      <c r="D29" s="334">
        <f>D11+D20+D26</f>
        <v>64000000</v>
      </c>
      <c r="E29" s="334">
        <f>E11+E20+E26</f>
        <v>47569240.414999999</v>
      </c>
      <c r="F29" s="334">
        <f>F11+F20+F26</f>
        <v>68814000</v>
      </c>
      <c r="K29" s="334">
        <f>K11+K20+K26</f>
        <v>64000000</v>
      </c>
      <c r="L29" s="334">
        <f>L11+L20+L26</f>
        <v>64000000</v>
      </c>
      <c r="M29" s="334">
        <f>M11+M20+M26</f>
        <v>47569240.414999999</v>
      </c>
      <c r="N29" s="334">
        <f>N11+N20+N26</f>
        <v>2785791.517</v>
      </c>
      <c r="O29" s="334">
        <f>O11+O20+O26</f>
        <v>68814000</v>
      </c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</row>
    <row r="30" spans="2:43" ht="15.75" x14ac:dyDescent="0.2">
      <c r="D30" s="334">
        <f>K29-D29</f>
        <v>0</v>
      </c>
      <c r="E30" s="334">
        <f>M29-E29</f>
        <v>0</v>
      </c>
      <c r="F30" s="334">
        <f>O29-F29</f>
        <v>0</v>
      </c>
      <c r="K30" s="334"/>
      <c r="L30" s="334"/>
      <c r="M30" s="334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</row>
    <row r="31" spans="2:43" ht="15.75" x14ac:dyDescent="0.2"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</row>
    <row r="32" spans="2:43" ht="15.75" x14ac:dyDescent="0.2"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</row>
    <row r="33" spans="17:43" ht="15.75" x14ac:dyDescent="0.2"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</row>
    <row r="34" spans="17:43" ht="15.75" x14ac:dyDescent="0.2"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</row>
    <row r="35" spans="17:43" ht="15.75" x14ac:dyDescent="0.2"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</row>
    <row r="36" spans="17:43" ht="15.75" x14ac:dyDescent="0.2"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</row>
    <row r="37" spans="17:43" ht="15.75" x14ac:dyDescent="0.2"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</row>
    <row r="38" spans="17:43" ht="15.75" x14ac:dyDescent="0.2"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</row>
    <row r="39" spans="17:43" ht="15.75" x14ac:dyDescent="0.2"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</row>
    <row r="40" spans="17:43" ht="15.75" x14ac:dyDescent="0.2"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</row>
    <row r="41" spans="17:43" ht="15.75" x14ac:dyDescent="0.2"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</row>
    <row r="42" spans="17:43" ht="15.75" x14ac:dyDescent="0.2"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</row>
    <row r="43" spans="17:43" ht="15.75" x14ac:dyDescent="0.2"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</row>
    <row r="44" spans="17:43" ht="15.75" x14ac:dyDescent="0.2"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</row>
    <row r="45" spans="17:43" ht="15.75" x14ac:dyDescent="0.2"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</row>
    <row r="46" spans="17:43" ht="15.75" x14ac:dyDescent="0.2"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</row>
    <row r="47" spans="17:43" ht="15.75" x14ac:dyDescent="0.2"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</row>
    <row r="48" spans="17:43" ht="15.75" x14ac:dyDescent="0.2"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</row>
    <row r="49" spans="17:43" ht="15.75" x14ac:dyDescent="0.2"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</row>
    <row r="50" spans="17:43" ht="15.75" x14ac:dyDescent="0.2"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</row>
    <row r="51" spans="17:43" ht="15.75" x14ac:dyDescent="0.2"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</row>
    <row r="52" spans="17:43" ht="15.75" x14ac:dyDescent="0.2"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</row>
    <row r="53" spans="17:43" ht="15.75" x14ac:dyDescent="0.2"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</row>
    <row r="54" spans="17:43" ht="15.75" x14ac:dyDescent="0.2"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</row>
    <row r="55" spans="17:43" ht="15.75" x14ac:dyDescent="0.2"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</row>
    <row r="56" spans="17:43" ht="15.75" x14ac:dyDescent="0.2"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</row>
    <row r="57" spans="17:43" ht="15.75" x14ac:dyDescent="0.2"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</row>
    <row r="58" spans="17:43" ht="15.75" x14ac:dyDescent="0.2"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</row>
    <row r="59" spans="17:43" ht="15.75" x14ac:dyDescent="0.2"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</row>
    <row r="60" spans="17:43" ht="15.75" x14ac:dyDescent="0.2"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</row>
    <row r="61" spans="17:43" ht="15.75" x14ac:dyDescent="0.2"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</row>
    <row r="62" spans="17:43" ht="15.75" x14ac:dyDescent="0.2"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</row>
    <row r="63" spans="17:43" ht="15.75" x14ac:dyDescent="0.2"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</row>
    <row r="64" spans="17:43" ht="15.75" x14ac:dyDescent="0.2"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</row>
  </sheetData>
  <mergeCells count="30">
    <mergeCell ref="B26:C26"/>
    <mergeCell ref="I26:J26"/>
    <mergeCell ref="B21:P21"/>
    <mergeCell ref="B23:G23"/>
    <mergeCell ref="I23:P23"/>
    <mergeCell ref="B22:P22"/>
    <mergeCell ref="B20:C20"/>
    <mergeCell ref="I20:J20"/>
    <mergeCell ref="B19:C19"/>
    <mergeCell ref="B1:P1"/>
    <mergeCell ref="B3:B4"/>
    <mergeCell ref="C3:C4"/>
    <mergeCell ref="K4:N4"/>
    <mergeCell ref="D4:E4"/>
    <mergeCell ref="I2:P2"/>
    <mergeCell ref="B2:G2"/>
    <mergeCell ref="B11:C11"/>
    <mergeCell ref="O4:P4"/>
    <mergeCell ref="I3:I4"/>
    <mergeCell ref="J3:J4"/>
    <mergeCell ref="F4:G4"/>
    <mergeCell ref="I11:J11"/>
    <mergeCell ref="B13:P13"/>
    <mergeCell ref="B14:G14"/>
    <mergeCell ref="I14:P14"/>
    <mergeCell ref="B9:C9"/>
    <mergeCell ref="I9:J9"/>
    <mergeCell ref="I10:P10"/>
    <mergeCell ref="B10:C10"/>
    <mergeCell ref="B12:P12"/>
  </mergeCells>
  <conditionalFormatting sqref="B1:P15 C16:I18 B20:P26 B19:H19 J16:P19">
    <cfRule type="containsBlanks" dxfId="40" priority="3">
      <formula>LEN(TRIM(B1))=0</formula>
    </cfRule>
  </conditionalFormatting>
  <conditionalFormatting sqref="B16:B18">
    <cfRule type="containsBlanks" dxfId="39" priority="2">
      <formula>LEN(TRIM(B16))=0</formula>
    </cfRule>
  </conditionalFormatting>
  <conditionalFormatting sqref="I19">
    <cfRule type="containsBlanks" dxfId="38" priority="1">
      <formula>LEN(TRIM(I19))=0</formula>
    </cfRule>
  </conditionalFormatting>
  <pageMargins left="0" right="0.31496062992125984" top="2.0078740157480315" bottom="0.59055118110236227" header="0.11811023622047245" footer="0.11811023622047245"/>
  <pageSetup paperSize="9" scale="67" fitToWidth="0" fitToHeight="0" orientation="landscape" r:id="rId1"/>
  <headerFooter>
    <oddHeader>&amp;C&amp;"Andalus,Bold"&amp;16جامعة آل البيت
&amp;12&amp;G</oddHeader>
    <oddFooter>&amp;L&amp;"Andalus,Bold"&amp;10إعداد دائرة الشؤون المالية/ شعبة الموازنة&amp;C&amp;N&amp;R&amp;"Andalus,Bold"&amp;10مشروع موازنة جامعة آل البيت لعام 2020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35"/>
  <sheetViews>
    <sheetView rightToLeft="1" zoomScaleNormal="100" workbookViewId="0">
      <pane ySplit="3" topLeftCell="A4" activePane="bottomLeft" state="frozen"/>
      <selection activeCell="B16" sqref="B16:J18"/>
      <selection pane="bottomLeft" activeCell="C2" sqref="C1:F1048576"/>
    </sheetView>
  </sheetViews>
  <sheetFormatPr defaultRowHeight="14.25" x14ac:dyDescent="0.2"/>
  <cols>
    <col min="1" max="1" width="1.625" customWidth="1"/>
    <col min="2" max="2" width="52.75" style="21" bestFit="1" customWidth="1"/>
    <col min="3" max="5" width="7.625" style="21" bestFit="1" customWidth="1"/>
    <col min="6" max="6" width="4.5" style="213" bestFit="1" customWidth="1"/>
    <col min="9" max="9" width="9.875" customWidth="1"/>
    <col min="10" max="10" width="7.625" bestFit="1" customWidth="1"/>
    <col min="11" max="11" width="0" hidden="1" customWidth="1"/>
    <col min="12" max="12" width="7.625" bestFit="1" customWidth="1"/>
    <col min="13" max="13" width="0" hidden="1" customWidth="1"/>
    <col min="14" max="14" width="6.875" hidden="1" customWidth="1"/>
    <col min="15" max="15" width="7.625" bestFit="1" customWidth="1"/>
  </cols>
  <sheetData>
    <row r="1" spans="2:15" s="197" customFormat="1" ht="15.75" x14ac:dyDescent="0.2">
      <c r="B1" s="422" t="s">
        <v>665</v>
      </c>
      <c r="C1" s="423"/>
      <c r="D1" s="423"/>
      <c r="E1" s="423"/>
      <c r="F1" s="424"/>
    </row>
    <row r="2" spans="2:15" s="198" customFormat="1" ht="12.75" x14ac:dyDescent="0.2">
      <c r="B2" s="428" t="str">
        <f>'ن-باب'!B2:B2</f>
        <v>الباب/ الفصول المدرجة تحت الباب</v>
      </c>
      <c r="C2" s="302" t="s">
        <v>603</v>
      </c>
      <c r="D2" s="292" t="s">
        <v>605</v>
      </c>
      <c r="E2" s="302" t="s">
        <v>603</v>
      </c>
      <c r="F2" s="303" t="s">
        <v>651</v>
      </c>
    </row>
    <row r="3" spans="2:15" s="198" customFormat="1" ht="12.75" x14ac:dyDescent="0.2">
      <c r="B3" s="428"/>
      <c r="C3" s="419">
        <v>2019</v>
      </c>
      <c r="D3" s="419"/>
      <c r="E3" s="420">
        <v>2020</v>
      </c>
      <c r="F3" s="421"/>
    </row>
    <row r="4" spans="2:15" x14ac:dyDescent="0.2">
      <c r="B4" s="425" t="str">
        <f>'ر-فرعي'!B4:I4</f>
        <v>الباب الأول: الرسوم الجامعية</v>
      </c>
      <c r="C4" s="426"/>
      <c r="D4" s="426"/>
      <c r="E4" s="426"/>
      <c r="F4" s="427"/>
      <c r="J4" s="406" t="s">
        <v>598</v>
      </c>
      <c r="K4" s="406"/>
      <c r="L4" s="406"/>
      <c r="M4" s="406"/>
      <c r="N4" s="406"/>
      <c r="O4" s="406"/>
    </row>
    <row r="5" spans="2:15" x14ac:dyDescent="0.2">
      <c r="B5" s="32" t="str">
        <f>'ر-فرعي'!B5:I5</f>
        <v>الفصل الأول: الرسوم الجامعية</v>
      </c>
      <c r="C5" s="16">
        <f>IF('ر-فصل'!D13&gt;0,'ر-فصل'!D13,"")</f>
        <v>20566950</v>
      </c>
      <c r="D5" s="16">
        <f>IF('ر-فصل'!E13&gt;0,'ر-فصل'!E13,"")</f>
        <v>19944943.774000004</v>
      </c>
      <c r="E5" s="137">
        <f>IF('ر-فصل'!F13&gt;0,'ر-فصل'!F13,"")</f>
        <v>21233550</v>
      </c>
      <c r="F5" s="112">
        <f>IFERROR(E5/C5,"")</f>
        <v>1.0324112228599769</v>
      </c>
      <c r="J5" s="16">
        <f>C5+C31</f>
        <v>21686950</v>
      </c>
      <c r="K5" s="16" t="e">
        <f>#REF!+#REF!</f>
        <v>#REF!</v>
      </c>
      <c r="L5" s="16">
        <f>D5+D31</f>
        <v>21448330.474000003</v>
      </c>
      <c r="M5" s="137" t="e">
        <f>#REF!+#REF!</f>
        <v>#REF!</v>
      </c>
      <c r="N5" s="137" t="e">
        <f>#REF!+#REF!</f>
        <v>#REF!</v>
      </c>
      <c r="O5" s="137">
        <f>E5+E31</f>
        <v>22733550</v>
      </c>
    </row>
    <row r="6" spans="2:15" s="46" customFormat="1" x14ac:dyDescent="0.2">
      <c r="B6" s="295" t="str">
        <f>'ر-فرعي'!B69:E69</f>
        <v>مجموع الباب الأول: الرسوم الجامعية</v>
      </c>
      <c r="C6" s="273">
        <f>SUM(C5)</f>
        <v>20566950</v>
      </c>
      <c r="D6" s="273">
        <f t="shared" ref="D6:E6" si="0">SUM(D5)</f>
        <v>19944943.774000004</v>
      </c>
      <c r="E6" s="273">
        <f t="shared" si="0"/>
        <v>21233550</v>
      </c>
      <c r="F6" s="112">
        <f>IFERROR(E6/C6,"")</f>
        <v>1.0324112228599769</v>
      </c>
      <c r="J6" s="71"/>
      <c r="K6" s="71"/>
      <c r="L6" s="71"/>
      <c r="M6" s="71"/>
      <c r="N6" s="71"/>
      <c r="O6" s="137">
        <f>E11</f>
        <v>660300</v>
      </c>
    </row>
    <row r="7" spans="2:15" x14ac:dyDescent="0.2">
      <c r="B7" s="407" t="str">
        <f>'ر-فرعي'!B70:I70</f>
        <v>الباب الثاني: الدعم الحكومي</v>
      </c>
      <c r="C7" s="408"/>
      <c r="D7" s="408"/>
      <c r="E7" s="408"/>
      <c r="F7" s="409"/>
      <c r="J7" s="71"/>
      <c r="K7" s="71"/>
      <c r="L7" s="71"/>
      <c r="M7" s="71"/>
      <c r="N7" s="71"/>
      <c r="O7" s="137">
        <f>E12</f>
        <v>841150</v>
      </c>
    </row>
    <row r="8" spans="2:15" x14ac:dyDescent="0.2">
      <c r="B8" s="32" t="str">
        <f>'ر-فرعي'!B71:I71</f>
        <v>الفصل الأول: الدعم الحكومي</v>
      </c>
      <c r="C8" s="16">
        <f>IF('ر-فصل'!D16&gt;0,'ر-فصل'!D16,"")</f>
        <v>8000000</v>
      </c>
      <c r="D8" s="16">
        <f>IF('ر-فصل'!E16&gt;0,'ر-فصل'!E16,"")</f>
        <v>6435957</v>
      </c>
      <c r="E8" s="137">
        <f>IF('ر-فصل'!F16&gt;0,'ر-فصل'!F16,"")</f>
        <v>7600000</v>
      </c>
      <c r="F8" s="112">
        <f>IFERROR(E8/C8,"")</f>
        <v>0.95</v>
      </c>
      <c r="J8" s="71"/>
      <c r="K8" s="71"/>
      <c r="L8" s="71"/>
      <c r="M8" s="71"/>
      <c r="N8" s="71"/>
      <c r="O8" s="138">
        <f>SUM(O5:O7)</f>
        <v>24235000</v>
      </c>
    </row>
    <row r="9" spans="2:15" x14ac:dyDescent="0.2">
      <c r="B9" s="295" t="str">
        <f>'ر-فرعي'!B76:E76</f>
        <v>مجموع الباب الثاني: الدعم الحكومي</v>
      </c>
      <c r="C9" s="138">
        <f>SUM(C8)</f>
        <v>8000000</v>
      </c>
      <c r="D9" s="138">
        <f>SUM(D8)</f>
        <v>6435957</v>
      </c>
      <c r="E9" s="138">
        <f>SUM(E8)</f>
        <v>7600000</v>
      </c>
      <c r="F9" s="112">
        <f>IFERROR(E9/C9,"")</f>
        <v>0.95</v>
      </c>
    </row>
    <row r="10" spans="2:15" s="46" customFormat="1" x14ac:dyDescent="0.2">
      <c r="B10" s="425" t="str">
        <f>'ر-فرعي'!B77:I77</f>
        <v>الباب الثالث: الإيرادات الذاتية الأخرى</v>
      </c>
      <c r="C10" s="426"/>
      <c r="D10" s="426"/>
      <c r="E10" s="426"/>
      <c r="F10" s="427"/>
    </row>
    <row r="11" spans="2:15" x14ac:dyDescent="0.2">
      <c r="B11" s="32" t="str">
        <f>'ر-فرعي'!B78:I78</f>
        <v>الفصل الأول: ريع الأموال المنقولة وغير المنقولة</v>
      </c>
      <c r="C11" s="16">
        <f>IF('ر-فصل'!D23&gt;0,'ر-فصل'!D23,"")</f>
        <v>943050</v>
      </c>
      <c r="D11" s="16">
        <f>IF('ر-فصل'!E23&gt;0,'ر-فصل'!E23,"")</f>
        <v>688402.82499999995</v>
      </c>
      <c r="E11" s="137">
        <f>IF('ر-فصل'!F23&gt;0,'ر-فصل'!F23,"")</f>
        <v>660300</v>
      </c>
      <c r="F11" s="112">
        <f>IFERROR(E11/C11,"")</f>
        <v>0.70017496421186576</v>
      </c>
    </row>
    <row r="12" spans="2:15" x14ac:dyDescent="0.2">
      <c r="B12" s="32" t="str">
        <f>'ر-فرعي'!B108:I108</f>
        <v xml:space="preserve">الفصل الثاني: إيرادات متنوعة ومراكز علمية وسنين سابقة </v>
      </c>
      <c r="C12" s="16">
        <f>IF('ر-فصل'!D28&gt;0,'ر-فصل'!D28,"")</f>
        <v>795000</v>
      </c>
      <c r="D12" s="16">
        <f>IF('ر-فصل'!E28&gt;0,'ر-فصل'!E28,"")</f>
        <v>1471277.777</v>
      </c>
      <c r="E12" s="137">
        <f>IF('ر-فصل'!F28&gt;0,'ر-فصل'!F28,"")</f>
        <v>841150</v>
      </c>
      <c r="F12" s="112">
        <f>IFERROR(E12/C12,"")</f>
        <v>1.0580503144654088</v>
      </c>
    </row>
    <row r="13" spans="2:15" x14ac:dyDescent="0.2">
      <c r="B13" s="295" t="str">
        <f>'ر-فرعي'!B140:E140</f>
        <v>مجموع الباب الثالث: الإيرادات الذاتية الأخرى</v>
      </c>
      <c r="C13" s="138">
        <f>SUM(C11:C12)</f>
        <v>1738050</v>
      </c>
      <c r="D13" s="138">
        <f t="shared" ref="D13:E13" si="1">SUM(D11:D12)</f>
        <v>2159680.602</v>
      </c>
      <c r="E13" s="138">
        <f t="shared" si="1"/>
        <v>1501450</v>
      </c>
      <c r="F13" s="112">
        <f>IFERROR(E13/C13,"")</f>
        <v>0.86387042950432957</v>
      </c>
    </row>
    <row r="14" spans="2:15" x14ac:dyDescent="0.2">
      <c r="B14" s="407" t="str">
        <f>'ر-فرعي'!B141:I141</f>
        <v>الباب الرابع: التبرعات والمنح والهبات</v>
      </c>
      <c r="C14" s="408"/>
      <c r="D14" s="408"/>
      <c r="E14" s="408"/>
      <c r="F14" s="409"/>
    </row>
    <row r="15" spans="2:15" x14ac:dyDescent="0.2">
      <c r="B15" s="32" t="str">
        <f>'ر-فرعي'!B142:I142</f>
        <v>الفصل الأول: التبرعات والمنح والهبات</v>
      </c>
      <c r="C15" s="16">
        <f>IF('ر-فصل'!D31&gt;0,'ر-فصل'!D31,"")</f>
        <v>75000</v>
      </c>
      <c r="D15" s="16">
        <f>IF('ر-فصل'!E31&gt;0,'ر-فصل'!E31,"")</f>
        <v>30060</v>
      </c>
      <c r="E15" s="137">
        <f>IF('ر-فصل'!F31&gt;0,'ر-فصل'!F31,"")</f>
        <v>75000</v>
      </c>
      <c r="F15" s="112">
        <f>IFERROR(E15/C15,"")</f>
        <v>1</v>
      </c>
    </row>
    <row r="16" spans="2:15" x14ac:dyDescent="0.2">
      <c r="B16" s="295" t="str">
        <f>'ر-فرعي'!B148:E148</f>
        <v>مجموع الباب الرابع: التبرعات والمنح والهبات</v>
      </c>
      <c r="C16" s="138">
        <f>SUM(C15)</f>
        <v>75000</v>
      </c>
      <c r="D16" s="138">
        <f>SUM(D15)</f>
        <v>30060</v>
      </c>
      <c r="E16" s="138">
        <f>SUM(E15)</f>
        <v>75000</v>
      </c>
      <c r="F16" s="112">
        <f>IFERROR(E16/C16,"")</f>
        <v>1</v>
      </c>
    </row>
    <row r="17" spans="2:6" x14ac:dyDescent="0.2">
      <c r="B17" s="296" t="str">
        <f>'ر-فرعي'!B149:E149</f>
        <v>المجموع العام للإيرادات قبل العجز</v>
      </c>
      <c r="C17" s="192">
        <f>C6+C13+C9+C16</f>
        <v>30380000</v>
      </c>
      <c r="D17" s="192">
        <f>D6+D13+D9+D16</f>
        <v>28570641.376000002</v>
      </c>
      <c r="E17" s="192">
        <f>E6+E13+E9+E16</f>
        <v>30410000</v>
      </c>
      <c r="F17" s="112">
        <f>IFERROR(E17/C17,"")</f>
        <v>1.0009874917709018</v>
      </c>
    </row>
    <row r="18" spans="2:6" s="1" customFormat="1" x14ac:dyDescent="0.2">
      <c r="B18" s="416" t="str">
        <f>'ر-فرعي'!B150:I150</f>
        <v>العجز</v>
      </c>
      <c r="C18" s="417"/>
      <c r="D18" s="417"/>
      <c r="E18" s="417"/>
      <c r="F18" s="418"/>
    </row>
    <row r="19" spans="2:6" x14ac:dyDescent="0.2">
      <c r="B19" s="271" t="str">
        <f>'ر-فصل'!C35</f>
        <v>العجز</v>
      </c>
      <c r="C19" s="236">
        <f>IF('ر-فصل'!D35&gt;0,'ر-فصل'!D35,"")</f>
        <v>6000000</v>
      </c>
      <c r="D19" s="236">
        <f>IF('ر-فصل'!E35&gt;0,'ر-فصل'!E35,"")</f>
        <v>2084889.5519999973</v>
      </c>
      <c r="E19" s="137">
        <f>IF('ر-فصل'!F35&gt;0,'ر-فصل'!F35,"")</f>
        <v>5314000</v>
      </c>
      <c r="F19" s="112">
        <f>IFERROR(E19/C19,"")</f>
        <v>0.88566666666666671</v>
      </c>
    </row>
    <row r="20" spans="2:6" x14ac:dyDescent="0.2">
      <c r="B20" s="297" t="str">
        <f>'ر-فرعي'!B153:E153</f>
        <v>المجموع العام للعجز المقدر بالموازنة</v>
      </c>
      <c r="C20" s="162">
        <f>SUM(C19:C19)</f>
        <v>6000000</v>
      </c>
      <c r="D20" s="162">
        <f>SUM(D19)</f>
        <v>2084889.5519999973</v>
      </c>
      <c r="E20" s="162">
        <f>SUM(E19)</f>
        <v>5314000</v>
      </c>
      <c r="F20" s="112">
        <f>IFERROR(E20/C20,"")</f>
        <v>0.88566666666666671</v>
      </c>
    </row>
    <row r="21" spans="2:6" s="46" customFormat="1" x14ac:dyDescent="0.2">
      <c r="B21" s="293" t="s">
        <v>607</v>
      </c>
      <c r="C21" s="255">
        <f>C17+C20</f>
        <v>36380000</v>
      </c>
      <c r="D21" s="255">
        <f t="shared" ref="D21:E21" si="2">D17+D20</f>
        <v>30655530.927999999</v>
      </c>
      <c r="E21" s="255">
        <f t="shared" si="2"/>
        <v>35724000</v>
      </c>
      <c r="F21" s="112">
        <f>IFERROR(E21/C21,"")</f>
        <v>0.98196811434854314</v>
      </c>
    </row>
    <row r="22" spans="2:6" s="46" customFormat="1" x14ac:dyDescent="0.2">
      <c r="B22" s="413"/>
      <c r="C22" s="414"/>
      <c r="D22" s="414"/>
      <c r="E22" s="414"/>
      <c r="F22" s="415"/>
    </row>
    <row r="23" spans="2:6" s="46" customFormat="1" x14ac:dyDescent="0.2">
      <c r="B23" s="298" t="s">
        <v>599</v>
      </c>
      <c r="C23" s="419">
        <v>2019</v>
      </c>
      <c r="D23" s="419"/>
      <c r="E23" s="420">
        <v>2020</v>
      </c>
      <c r="F23" s="421"/>
    </row>
    <row r="24" spans="2:6" s="46" customFormat="1" x14ac:dyDescent="0.2">
      <c r="B24" s="288" t="str">
        <f>'ر-فرعي'!B157:I157</f>
        <v>الباب الأول: المصادر (مصادر التمويل)</v>
      </c>
      <c r="C24" s="289"/>
      <c r="D24" s="289"/>
      <c r="E24" s="289"/>
      <c r="F24" s="290"/>
    </row>
    <row r="25" spans="2:6" s="46" customFormat="1" x14ac:dyDescent="0.2">
      <c r="B25" s="32" t="str">
        <f>'ر-فرعي'!B158:I158</f>
        <v>قروض وتسهيلات بنكية وسلفة وزارة المالية وعجز موازنة التمويل</v>
      </c>
      <c r="C25" s="248">
        <f>IF('ر-فصل'!D44&gt;0,'ر-فصل'!D44,"")</f>
        <v>16000000</v>
      </c>
      <c r="D25" s="248">
        <f>IF('ر-فصل'!E44&gt;0,'ر-فصل'!E44,"")</f>
        <v>13790592.323000003</v>
      </c>
      <c r="E25" s="137">
        <f>IF('ر-فصل'!F44&gt;0,'ر-فصل'!F44,"")</f>
        <v>23090000</v>
      </c>
      <c r="F25" s="112">
        <f>IFERROR(E25/C25,"")</f>
        <v>1.443125</v>
      </c>
    </row>
    <row r="26" spans="2:6" s="46" customFormat="1" x14ac:dyDescent="0.2">
      <c r="B26" s="294" t="str">
        <f>'ر-فرعي'!B165:E165</f>
        <v>المجموع العام لموازنة التمويل</v>
      </c>
      <c r="C26" s="153">
        <f>SUM(C25:C25)</f>
        <v>16000000</v>
      </c>
      <c r="D26" s="153">
        <f>SUM(D25:D25)</f>
        <v>13790592.323000003</v>
      </c>
      <c r="E26" s="153">
        <f>SUM(E25:E25)</f>
        <v>23090000</v>
      </c>
      <c r="F26" s="112">
        <f t="shared" ref="F26" si="3">IFERROR(E26/C26,"")</f>
        <v>1.443125</v>
      </c>
    </row>
    <row r="27" spans="2:6" x14ac:dyDescent="0.2">
      <c r="B27" s="410" t="str">
        <f>IFERROR(E27/C27,"")</f>
        <v/>
      </c>
      <c r="C27" s="411"/>
      <c r="D27" s="411"/>
      <c r="E27" s="411"/>
      <c r="F27" s="412"/>
    </row>
    <row r="28" spans="2:6" x14ac:dyDescent="0.2">
      <c r="B28" s="298" t="s">
        <v>611</v>
      </c>
      <c r="C28" s="419">
        <v>2019</v>
      </c>
      <c r="D28" s="419"/>
      <c r="E28" s="420">
        <v>2020</v>
      </c>
      <c r="F28" s="421"/>
    </row>
    <row r="29" spans="2:6" x14ac:dyDescent="0.2">
      <c r="B29" s="407" t="str">
        <f>'ر-فرعي'!B168:I168</f>
        <v>الباب الأول: إيرادات الحسابات النظامية</v>
      </c>
      <c r="C29" s="408"/>
      <c r="D29" s="408"/>
      <c r="E29" s="408"/>
      <c r="F29" s="409"/>
    </row>
    <row r="30" spans="2:6" x14ac:dyDescent="0.2">
      <c r="B30" s="32" t="str">
        <f>'ر-فرعي'!B169:I169</f>
        <v>الفصل الأول: إيرادات مشاريع وأجهزة وتجهيزات مشروطة بالتمويل</v>
      </c>
      <c r="C30" s="16">
        <f>IF('ر-فصل'!D49&gt;0,'ر-فصل'!D49,"")</f>
        <v>10500000</v>
      </c>
      <c r="D30" s="16">
        <f>IF('ر-فصل'!E49&gt;0,'ر-فصل'!E49,"")</f>
        <v>1619730.4639999999</v>
      </c>
      <c r="E30" s="137">
        <f>IF('ر-فصل'!F49&gt;0,'ر-فصل'!F49,"")</f>
        <v>8500000</v>
      </c>
      <c r="F30" s="112">
        <f>IFERROR(E30/C30,"")</f>
        <v>0.80952380952380953</v>
      </c>
    </row>
    <row r="31" spans="2:6" x14ac:dyDescent="0.2">
      <c r="B31" s="32" t="str">
        <f>'ر-فرعي'!B194:I194</f>
        <v>الفصل الثاني: إيرادات الرسوم الجامعية التي تتحملها الجامعة (إيرادات غير نقدية)</v>
      </c>
      <c r="C31" s="16">
        <f>IF('ر-فصل'!D50&gt;0,'ر-فصل'!D50,"")</f>
        <v>1120000</v>
      </c>
      <c r="D31" s="16">
        <f>IF('ر-فصل'!E50&gt;0,'ر-فصل'!E50,"")</f>
        <v>1503386.7000000002</v>
      </c>
      <c r="E31" s="137">
        <f>IF('ر-فصل'!F50&gt;0,'ر-فصل'!F50,"")</f>
        <v>1500000</v>
      </c>
      <c r="F31" s="69">
        <f>IFERROR(E31/C31,"")</f>
        <v>1.3392857142857142</v>
      </c>
    </row>
    <row r="32" spans="2:6" ht="15" thickBot="1" x14ac:dyDescent="0.25">
      <c r="B32" s="267" t="s">
        <v>658</v>
      </c>
      <c r="C32" s="272">
        <f>SUM(C30:C31)</f>
        <v>11620000</v>
      </c>
      <c r="D32" s="272">
        <f t="shared" ref="D32:E32" si="4">SUM(D30:D31)</f>
        <v>3123117.1639999999</v>
      </c>
      <c r="E32" s="272">
        <f t="shared" si="4"/>
        <v>10000000</v>
      </c>
      <c r="F32" s="212">
        <f>IFERROR(E32/C32,"")</f>
        <v>0.86058519793459554</v>
      </c>
    </row>
    <row r="34" spans="3:5" x14ac:dyDescent="0.2">
      <c r="C34" s="228">
        <f>C21+C26+C32</f>
        <v>64000000</v>
      </c>
      <c r="D34" s="228">
        <f>D21+D26+D32</f>
        <v>47569240.414999999</v>
      </c>
      <c r="E34" s="228">
        <f>E21+E26+E32</f>
        <v>68814000</v>
      </c>
    </row>
    <row r="35" spans="3:5" x14ac:dyDescent="0.2">
      <c r="C35" s="228">
        <f>'ر-فصل'!D54-'ر-باب'!C34</f>
        <v>0</v>
      </c>
      <c r="D35" s="228">
        <f>'ر-فصل'!E54-'ر-باب'!D34</f>
        <v>0</v>
      </c>
      <c r="E35" s="228">
        <f>'ر-فصل'!F54-'ر-باب'!E34</f>
        <v>0</v>
      </c>
    </row>
  </sheetData>
  <mergeCells count="17">
    <mergeCell ref="B1:F1"/>
    <mergeCell ref="B4:F4"/>
    <mergeCell ref="B7:F7"/>
    <mergeCell ref="B14:F14"/>
    <mergeCell ref="B2:B3"/>
    <mergeCell ref="C3:D3"/>
    <mergeCell ref="E3:F3"/>
    <mergeCell ref="B10:F10"/>
    <mergeCell ref="J4:O4"/>
    <mergeCell ref="B29:F29"/>
    <mergeCell ref="B27:F27"/>
    <mergeCell ref="B22:F22"/>
    <mergeCell ref="B18:F18"/>
    <mergeCell ref="C23:D23"/>
    <mergeCell ref="C28:D28"/>
    <mergeCell ref="E28:F28"/>
    <mergeCell ref="E23:F23"/>
  </mergeCells>
  <conditionalFormatting sqref="B1:F32">
    <cfRule type="containsBlanks" dxfId="37" priority="1">
      <formula>LEN(TRIM(B1))=0</formula>
    </cfRule>
  </conditionalFormatting>
  <pageMargins left="0.35433070866141736" right="0.35433070866141736" top="0.74803149606299213" bottom="0.74803149606299213" header="0.31496062992125984" footer="0.31496062992125984"/>
  <pageSetup paperSize="9" orientation="portrait" r:id="rId1"/>
  <headerFooter>
    <oddHeader>&amp;C&amp;"Andalus,Bold"&amp;14جامعة آل البيت</oddHeader>
    <oddFooter>&amp;L&amp;"Andalus,Bold"&amp;10إعداد دائرة الشؤون المالية/ شعبة الموازنة &amp;C&amp;P+1&amp;R&amp;"Andalus,Bold"&amp;10مشروع موازنة الجامعة لعام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49"/>
  <sheetViews>
    <sheetView rightToLeft="1" zoomScaleNormal="100" workbookViewId="0">
      <pane ySplit="3" topLeftCell="A4" activePane="bottomLeft" state="frozen"/>
      <selection activeCell="B16" sqref="B16:J18"/>
      <selection pane="bottomLeft" activeCell="C2" sqref="C1:H1048576"/>
    </sheetView>
  </sheetViews>
  <sheetFormatPr defaultRowHeight="14.25" x14ac:dyDescent="0.2"/>
  <cols>
    <col min="1" max="1" width="1.625" customWidth="1"/>
    <col min="2" max="2" width="51.375" style="2" bestFit="1" customWidth="1"/>
    <col min="3" max="3" width="7.625" style="2" bestFit="1" customWidth="1"/>
    <col min="4" max="4" width="7.625" style="68" bestFit="1" customWidth="1"/>
    <col min="5" max="5" width="7.625" style="2" bestFit="1" customWidth="1"/>
    <col min="6" max="6" width="6.875" style="2" bestFit="1" customWidth="1"/>
    <col min="7" max="7" width="7.625" style="2" bestFit="1" customWidth="1"/>
    <col min="8" max="8" width="4.5" style="211" bestFit="1" customWidth="1"/>
    <col min="10" max="11" width="7.625" bestFit="1" customWidth="1"/>
    <col min="12" max="12" width="6.875" bestFit="1" customWidth="1"/>
    <col min="13" max="13" width="5.75" bestFit="1" customWidth="1"/>
    <col min="14" max="14" width="0" hidden="1" customWidth="1"/>
    <col min="15" max="15" width="9.875" bestFit="1" customWidth="1"/>
  </cols>
  <sheetData>
    <row r="1" spans="2:15" s="197" customFormat="1" ht="15.75" x14ac:dyDescent="0.2">
      <c r="B1" s="429" t="s">
        <v>669</v>
      </c>
      <c r="C1" s="423"/>
      <c r="D1" s="423"/>
      <c r="E1" s="423"/>
      <c r="F1" s="423"/>
      <c r="G1" s="423"/>
      <c r="H1" s="424"/>
    </row>
    <row r="2" spans="2:15" s="197" customFormat="1" ht="25.5" x14ac:dyDescent="0.2">
      <c r="B2" s="428" t="s">
        <v>454</v>
      </c>
      <c r="C2" s="302" t="s">
        <v>603</v>
      </c>
      <c r="D2" s="302" t="s">
        <v>604</v>
      </c>
      <c r="E2" s="292" t="s">
        <v>605</v>
      </c>
      <c r="F2" s="302" t="s">
        <v>606</v>
      </c>
      <c r="G2" s="302" t="s">
        <v>603</v>
      </c>
      <c r="H2" s="303" t="s">
        <v>651</v>
      </c>
    </row>
    <row r="3" spans="2:15" s="197" customFormat="1" ht="12.75" x14ac:dyDescent="0.2">
      <c r="B3" s="428"/>
      <c r="C3" s="419">
        <v>2019</v>
      </c>
      <c r="D3" s="419"/>
      <c r="E3" s="419"/>
      <c r="F3" s="419"/>
      <c r="G3" s="420">
        <v>2020</v>
      </c>
      <c r="H3" s="421"/>
    </row>
    <row r="4" spans="2:15" x14ac:dyDescent="0.2">
      <c r="B4" s="425" t="str">
        <f>'ن-فرعي'!B4:K4</f>
        <v>الباب الأول: النفقات المتكررة</v>
      </c>
      <c r="C4" s="426"/>
      <c r="D4" s="426"/>
      <c r="E4" s="426"/>
      <c r="F4" s="426"/>
      <c r="G4" s="426"/>
      <c r="H4" s="427"/>
      <c r="J4" s="406" t="s">
        <v>598</v>
      </c>
      <c r="K4" s="406"/>
      <c r="L4" s="406"/>
      <c r="M4" s="406"/>
      <c r="N4" s="406"/>
      <c r="O4" s="406"/>
    </row>
    <row r="5" spans="2:15" x14ac:dyDescent="0.2">
      <c r="B5" s="32" t="str">
        <f>'ن-فرعي'!B5:K5</f>
        <v>الفصل الأول: الرواتب والعلاوات والمكافآت</v>
      </c>
      <c r="C5" s="16">
        <f>IF('ن-فصل'!D8&gt;0,'ن-فصل'!D8,"")</f>
        <v>21912463</v>
      </c>
      <c r="D5" s="171">
        <f>IF('ن-فصل'!E8&gt;0,'ن-فصل'!E8,"")</f>
        <v>22210463</v>
      </c>
      <c r="E5" s="16">
        <f>IF('ن-فصل'!F8&gt;0,'ن-فصل'!F8,"")</f>
        <v>21185669.431000002</v>
      </c>
      <c r="F5" s="16">
        <f>IF('ن-فصل'!G8&gt;0,'ن-فصل'!G8,"")</f>
        <v>27476.385000000002</v>
      </c>
      <c r="G5" s="137">
        <f>IF('ن-فصل'!H8&gt;0,'ن-فصل'!H8,"")</f>
        <v>22113775</v>
      </c>
      <c r="H5" s="69">
        <f t="shared" ref="H5:H14" si="0">IFERROR(G5/C5,"")</f>
        <v>1.0091871005098787</v>
      </c>
      <c r="J5" s="71"/>
      <c r="K5" s="71"/>
      <c r="L5" s="71"/>
      <c r="M5" s="71"/>
      <c r="N5" s="71"/>
      <c r="O5" s="137">
        <f>G5</f>
        <v>22113775</v>
      </c>
    </row>
    <row r="6" spans="2:15" x14ac:dyDescent="0.2">
      <c r="B6" s="32" t="str">
        <f>'ن-فرعي'!B33:K33</f>
        <v>الفصل الثاني: التعويضات والتأمينات للعاملين</v>
      </c>
      <c r="C6" s="16">
        <f>IF('ن-فصل'!D14&gt;0,'ن-فصل'!D14,"")</f>
        <v>4530000</v>
      </c>
      <c r="D6" s="171">
        <f>IF('ن-فصل'!E14&gt;0,'ن-فصل'!E14,"")</f>
        <v>4919000</v>
      </c>
      <c r="E6" s="16">
        <f>IF('ن-فصل'!F14&gt;0,'ن-فصل'!F14,"")</f>
        <v>4875467.3369999994</v>
      </c>
      <c r="F6" s="16">
        <f>IF('ن-فصل'!G14&gt;0,'ن-فصل'!G14,"")</f>
        <v>30000</v>
      </c>
      <c r="G6" s="137">
        <f>IF('ن-فصل'!H14&gt;0,'ن-فصل'!H14,"")</f>
        <v>4450000</v>
      </c>
      <c r="H6" s="69">
        <f t="shared" si="0"/>
        <v>0.98233995584988965</v>
      </c>
      <c r="J6" s="71"/>
      <c r="K6" s="71"/>
      <c r="L6" s="71"/>
      <c r="M6" s="71"/>
      <c r="N6" s="71"/>
      <c r="O6" s="137">
        <f t="shared" ref="O6:O7" si="1">G6</f>
        <v>4450000</v>
      </c>
    </row>
    <row r="7" spans="2:15" x14ac:dyDescent="0.2">
      <c r="B7" s="32" t="str">
        <f>'ن-فرعي'!B50:K50</f>
        <v>الفصل الثالث: اللوازم والمهمات والصيانة</v>
      </c>
      <c r="C7" s="16">
        <f>IF('ن-فصل'!D22&gt;0,'ن-فصل'!D22,"")</f>
        <v>486000</v>
      </c>
      <c r="D7" s="171">
        <f>IF('ن-فصل'!E22&gt;0,'ن-فصل'!E22,"")</f>
        <v>486000</v>
      </c>
      <c r="E7" s="16">
        <f>IF('ن-فصل'!F22&gt;0,'ن-فصل'!F22,"")</f>
        <v>103151.88500000001</v>
      </c>
      <c r="F7" s="16">
        <f>IF('ن-فصل'!G22&gt;0,'ن-فصل'!G22,"")</f>
        <v>218720.883</v>
      </c>
      <c r="G7" s="137">
        <f>IF('ن-فصل'!H22&gt;0,'ن-فصل'!H22,"")</f>
        <v>635000</v>
      </c>
      <c r="H7" s="69">
        <f t="shared" si="0"/>
        <v>1.3065843621399178</v>
      </c>
      <c r="J7" s="71"/>
      <c r="K7" s="71"/>
      <c r="L7" s="71"/>
      <c r="M7" s="71"/>
      <c r="N7" s="71"/>
      <c r="O7" s="137">
        <f t="shared" si="1"/>
        <v>635000</v>
      </c>
    </row>
    <row r="8" spans="2:15" x14ac:dyDescent="0.2">
      <c r="B8" s="32" t="str">
        <f>'ن-فرعي'!B85:K85</f>
        <v>الفصل الرابع: دعم الصناديق والخدمات والنشاطات الطلابية</v>
      </c>
      <c r="C8" s="16">
        <f>IF('ن-فصل'!D31&gt;0,'ن-فصل'!D31,"")</f>
        <v>308000</v>
      </c>
      <c r="D8" s="171">
        <f>IF('ن-فصل'!E31&gt;0,'ن-فصل'!E31,"")</f>
        <v>307800</v>
      </c>
      <c r="E8" s="16">
        <f>IF('ن-فصل'!F31&gt;0,'ن-فصل'!F31,"")</f>
        <v>169242.91700000002</v>
      </c>
      <c r="F8" s="16">
        <f>IF('ن-فصل'!G31&gt;0,'ن-فصل'!G31,"")</f>
        <v>12469.789000000001</v>
      </c>
      <c r="G8" s="137">
        <f>IF('ن-فصل'!H31&gt;0,'ن-فصل'!H31,"")</f>
        <v>431000</v>
      </c>
      <c r="H8" s="69">
        <f t="shared" si="0"/>
        <v>1.3993506493506493</v>
      </c>
      <c r="J8" s="16">
        <f>C8+C46</f>
        <v>11928000</v>
      </c>
      <c r="K8" s="16">
        <f>D8+D46</f>
        <v>12350800</v>
      </c>
      <c r="L8" s="16">
        <f>E8+E46</f>
        <v>3292360.0809999998</v>
      </c>
      <c r="M8" s="16">
        <f>F8+F46</f>
        <v>487906.35499999998</v>
      </c>
      <c r="N8" s="16" t="e">
        <f>#REF!+#REF!</f>
        <v>#REF!</v>
      </c>
      <c r="O8" s="137">
        <f t="shared" ref="O8" si="2">G8+G46</f>
        <v>10431000</v>
      </c>
    </row>
    <row r="9" spans="2:15" x14ac:dyDescent="0.2">
      <c r="B9" s="32" t="str">
        <f>'ن-فرعي'!B123:K123</f>
        <v>الفصل الخامس: النفقات العامة المشتركة</v>
      </c>
      <c r="C9" s="16">
        <f>IF('ن-فصل'!D39&gt;0,'ن-فصل'!D39,"")</f>
        <v>1442300</v>
      </c>
      <c r="D9" s="171">
        <f>IF('ن-فصل'!E39&gt;0,'ن-فصل'!E39,"")</f>
        <v>1342500</v>
      </c>
      <c r="E9" s="16">
        <f>IF('ن-فصل'!F39&gt;0,'ن-فصل'!F39,"")</f>
        <v>676119.34</v>
      </c>
      <c r="F9" s="16">
        <f>IF('ن-فصل'!G39&gt;0,'ن-فصل'!G39,"")</f>
        <v>236392.17199999999</v>
      </c>
      <c r="G9" s="137">
        <f>IF('ن-فصل'!H39&gt;0,'ن-فصل'!H39,"")</f>
        <v>1317725</v>
      </c>
      <c r="H9" s="69">
        <f t="shared" si="0"/>
        <v>0.91362753934687657</v>
      </c>
      <c r="J9" s="71"/>
      <c r="K9" s="71"/>
      <c r="L9" s="71"/>
      <c r="M9" s="71"/>
      <c r="N9" s="71"/>
      <c r="O9" s="137">
        <f>G9</f>
        <v>1317725</v>
      </c>
    </row>
    <row r="10" spans="2:15" x14ac:dyDescent="0.2">
      <c r="B10" s="32" t="str">
        <f>'ن-فرعي'!B162:K162</f>
        <v>الفصل السادس: المساهمات</v>
      </c>
      <c r="C10" s="16">
        <f>IF('ن-فصل'!D43&gt;0,'ن-فصل'!D43,"")</f>
        <v>94100</v>
      </c>
      <c r="D10" s="171">
        <f>IF('ن-فصل'!E43&gt;0,'ن-فصل'!E43,"")</f>
        <v>94100</v>
      </c>
      <c r="E10" s="16">
        <f>IF('ن-فصل'!F43&gt;0,'ن-فصل'!F43,"")</f>
        <v>71625.328999999998</v>
      </c>
      <c r="F10" s="16" t="str">
        <f>IF('ن-فصل'!G43&gt;0,'ن-فصل'!G43,"")</f>
        <v/>
      </c>
      <c r="G10" s="137">
        <f>IF('ن-فصل'!H43&gt;0,'ن-فصل'!H43,"")</f>
        <v>94500</v>
      </c>
      <c r="H10" s="69">
        <f t="shared" si="0"/>
        <v>1.0042507970244421</v>
      </c>
      <c r="J10" s="71"/>
      <c r="K10" s="71"/>
      <c r="L10" s="71"/>
      <c r="M10" s="71"/>
      <c r="N10" s="71"/>
      <c r="O10" s="137">
        <f t="shared" ref="O10:O13" si="3">G10</f>
        <v>94500</v>
      </c>
    </row>
    <row r="11" spans="2:15" x14ac:dyDescent="0.2">
      <c r="B11" s="32" t="str">
        <f>'ن-فرعي'!B190:K190</f>
        <v>الفصل السابع: نفقات التزامات النفقات المتكررة المدورة من سنوات سابقة</v>
      </c>
      <c r="C11" s="16">
        <f>IF('ن-فصل'!D45&gt;0,'ن-فصل'!D45,"")</f>
        <v>950000</v>
      </c>
      <c r="D11" s="171">
        <f>IF('ن-فصل'!E45&gt;0,'ن-فصل'!E45,"")</f>
        <v>950000</v>
      </c>
      <c r="E11" s="16">
        <f>IF('ن-فصل'!F45&gt;0,'ن-فصل'!F45,"")</f>
        <v>449687.85499999998</v>
      </c>
      <c r="F11" s="16">
        <f>IF('ن-فصل'!G45&gt;0,'ن-فصل'!G45,"")</f>
        <v>493049.337</v>
      </c>
      <c r="G11" s="137">
        <f>IF('ن-فصل'!H45&gt;0,'ن-فصل'!H45,"")</f>
        <v>1150000</v>
      </c>
      <c r="H11" s="69">
        <f t="shared" si="0"/>
        <v>1.2105263157894737</v>
      </c>
      <c r="J11" s="71"/>
      <c r="K11" s="71"/>
      <c r="L11" s="71"/>
      <c r="M11" s="71"/>
      <c r="N11" s="71"/>
      <c r="O11" s="137">
        <f t="shared" si="3"/>
        <v>1150000</v>
      </c>
    </row>
    <row r="12" spans="2:15" x14ac:dyDescent="0.2">
      <c r="B12" s="32" t="str">
        <f>'ن-فرعي'!B195:K195</f>
        <v>الفصل التاسع: الفوائد والعمولات المصرفية</v>
      </c>
      <c r="C12" s="16">
        <f>IF('ن-فصل'!D47&gt;0,'ن-فصل'!D47,"")</f>
        <v>450000</v>
      </c>
      <c r="D12" s="171">
        <f>IF('ن-فصل'!E47&gt;0,'ن-فصل'!E47,"")</f>
        <v>645000</v>
      </c>
      <c r="E12" s="16">
        <f>IF('ن-فصل'!F47&gt;0,'ن-فصل'!F47,"")</f>
        <v>640844.58400000003</v>
      </c>
      <c r="F12" s="16" t="str">
        <f>IF('ن-فصل'!G47&gt;0,'ن-فصل'!G47,"")</f>
        <v/>
      </c>
      <c r="G12" s="137">
        <f>IF('ن-فصل'!H47&gt;0,'ن-فصل'!H47,"")</f>
        <v>800000</v>
      </c>
      <c r="H12" s="69">
        <f t="shared" si="0"/>
        <v>1.7777777777777777</v>
      </c>
      <c r="J12" s="71"/>
      <c r="K12" s="71"/>
      <c r="L12" s="71"/>
      <c r="M12" s="71"/>
      <c r="N12" s="71"/>
      <c r="O12" s="137">
        <f t="shared" si="3"/>
        <v>800000</v>
      </c>
    </row>
    <row r="13" spans="2:15" x14ac:dyDescent="0.2">
      <c r="B13" s="32" t="str">
        <f>'ن-فرعي'!B200:K200</f>
        <v>الفصل العاشر: تسديد فوائد القروض</v>
      </c>
      <c r="C13" s="16">
        <f>IF('ن-فصل'!D49&gt;0,'ن-فصل'!D49,"")</f>
        <v>68000</v>
      </c>
      <c r="D13" s="171">
        <f>IF('ن-فصل'!E49&gt;0,'ن-فصل'!E49,"")</f>
        <v>68000</v>
      </c>
      <c r="E13" s="16" t="str">
        <f>IF('ن-فصل'!F49&gt;0,'ن-فصل'!F49,"")</f>
        <v/>
      </c>
      <c r="F13" s="16" t="str">
        <f>IF('ن-فصل'!G49&gt;0,'ن-فصل'!G49,"")</f>
        <v/>
      </c>
      <c r="G13" s="137">
        <f>IF('ن-فصل'!H49&gt;0,'ن-فصل'!H49,"")</f>
        <v>100000</v>
      </c>
      <c r="H13" s="69">
        <f t="shared" si="0"/>
        <v>1.4705882352941178</v>
      </c>
      <c r="J13" s="71"/>
      <c r="K13" s="71"/>
      <c r="L13" s="71"/>
      <c r="M13" s="71"/>
      <c r="N13" s="71"/>
      <c r="O13" s="137">
        <f t="shared" si="3"/>
        <v>100000</v>
      </c>
    </row>
    <row r="14" spans="2:15" x14ac:dyDescent="0.2">
      <c r="B14" s="295" t="str">
        <f>'ن-فرعي'!B205:E205</f>
        <v>مجموع الباب الأول: النفقات المتكررة</v>
      </c>
      <c r="C14" s="138">
        <f t="shared" ref="C14:G14" si="4">SUM(C5:C13)</f>
        <v>30240863</v>
      </c>
      <c r="D14" s="172">
        <f t="shared" si="4"/>
        <v>31022863</v>
      </c>
      <c r="E14" s="138">
        <f t="shared" si="4"/>
        <v>28171808.677999999</v>
      </c>
      <c r="F14" s="138">
        <f t="shared" si="4"/>
        <v>1018108.5659999999</v>
      </c>
      <c r="G14" s="138">
        <f t="shared" si="4"/>
        <v>31092000</v>
      </c>
      <c r="H14" s="69">
        <f t="shared" si="0"/>
        <v>1.0281452615952131</v>
      </c>
      <c r="J14" s="71"/>
      <c r="K14" s="71"/>
      <c r="L14" s="71"/>
      <c r="M14" s="71"/>
      <c r="N14" s="71"/>
      <c r="O14" s="138">
        <f>SUM(O5:O13)</f>
        <v>41092000</v>
      </c>
    </row>
    <row r="15" spans="2:15" x14ac:dyDescent="0.2">
      <c r="B15" s="425" t="str">
        <f>'ن-فرعي'!B206:K206</f>
        <v xml:space="preserve">الباب الثاني: نفقات البحث العلمي </v>
      </c>
      <c r="C15" s="426"/>
      <c r="D15" s="426"/>
      <c r="E15" s="426"/>
      <c r="F15" s="426"/>
      <c r="G15" s="426"/>
      <c r="H15" s="427"/>
    </row>
    <row r="16" spans="2:15" x14ac:dyDescent="0.2">
      <c r="B16" s="32" t="str">
        <f>'ن-فرعي'!B207:K207</f>
        <v>الفصل الأول: دعم البحث العلمي ودعم النشر ومكافآت تقييم الأبحات ومراقبة إعداد الرسائل العلمية</v>
      </c>
      <c r="C16" s="16">
        <f>IF('ن-فصل'!D53&gt;0,'ن-فصل'!D53,"")</f>
        <v>820000</v>
      </c>
      <c r="D16" s="171">
        <f>IF('ن-فصل'!E53&gt;0,'ن-فصل'!E53,"")</f>
        <v>1008500</v>
      </c>
      <c r="E16" s="16">
        <f>IF('ن-فصل'!F53&gt;0,'ن-فصل'!F53,"")</f>
        <v>967889.29</v>
      </c>
      <c r="F16" s="16" t="str">
        <f>IF('ن-فصل'!G53&gt;0,'ن-فصل'!G53,"")</f>
        <v/>
      </c>
      <c r="G16" s="137">
        <f>IF('ن-فصل'!H53&gt;0,'ن-فصل'!H53,"")</f>
        <v>835000</v>
      </c>
      <c r="H16" s="69">
        <f t="shared" ref="H16:H23" si="5">IFERROR(G16/C16,"")</f>
        <v>1.0182926829268293</v>
      </c>
    </row>
    <row r="17" spans="2:8" x14ac:dyDescent="0.2">
      <c r="B17" s="32" t="str">
        <f>'ن-فرعي'!B220:K220</f>
        <v>الفصل الثاني: دعم بحوث ومنح طلبة الدراسات العليا</v>
      </c>
      <c r="C17" s="16">
        <f>IF('ن-فصل'!D55&gt;0,'ن-فصل'!D55,"")</f>
        <v>6000</v>
      </c>
      <c r="D17" s="171">
        <f>IF('ن-فصل'!E55&gt;0,'ن-فصل'!E55,"")</f>
        <v>10500</v>
      </c>
      <c r="E17" s="16">
        <f>IF('ن-فصل'!F55&gt;0,'ن-فصل'!F55,"")</f>
        <v>2897.44</v>
      </c>
      <c r="F17" s="16">
        <f>IF('ن-فصل'!G55&gt;0,'ن-فصل'!G55,"")</f>
        <v>6152.56</v>
      </c>
      <c r="G17" s="137">
        <f>IF('ن-فصل'!H55&gt;0,'ن-فصل'!H55,"")</f>
        <v>15000</v>
      </c>
      <c r="H17" s="69">
        <f t="shared" si="5"/>
        <v>2.5</v>
      </c>
    </row>
    <row r="18" spans="2:8" x14ac:dyDescent="0.2">
      <c r="B18" s="32" t="str">
        <f>'ن-فرعي'!B226:K226</f>
        <v xml:space="preserve">الفصل الثالث: دعم المشاركة في المؤتمرات والندوات العلمية </v>
      </c>
      <c r="C18" s="16">
        <f>IF('ن-فصل'!D57&gt;0,'ن-فصل'!D57,"")</f>
        <v>51000</v>
      </c>
      <c r="D18" s="171">
        <f>IF('ن-فصل'!E57&gt;0,'ن-فصل'!E57,"")</f>
        <v>13000</v>
      </c>
      <c r="E18" s="16" t="str">
        <f>IF('ن-فصل'!F57&gt;0,'ن-فصل'!F57,"")</f>
        <v/>
      </c>
      <c r="F18" s="16">
        <f>IF('ن-فصل'!G57&gt;0,'ن-فصل'!G57,"")</f>
        <v>2508</v>
      </c>
      <c r="G18" s="137">
        <f>IF('ن-فصل'!H57&gt;0,'ن-فصل'!H57,"")</f>
        <v>131000</v>
      </c>
      <c r="H18" s="69">
        <f t="shared" si="5"/>
        <v>2.5686274509803924</v>
      </c>
    </row>
    <row r="19" spans="2:8" x14ac:dyDescent="0.2">
      <c r="B19" s="32" t="str">
        <f>'ن-فرعي'!B234:K234</f>
        <v>الفصل الرابع: المجلات والمطبوعات العلمية والثقافية</v>
      </c>
      <c r="C19" s="16">
        <f>IF('ن-فصل'!D59&gt;0,'ن-فصل'!D59,"")</f>
        <v>53000</v>
      </c>
      <c r="D19" s="171">
        <f>IF('ن-فصل'!E59&gt;0,'ن-فصل'!E59,"")</f>
        <v>58000</v>
      </c>
      <c r="E19" s="16">
        <f>IF('ن-فصل'!F59&gt;0,'ن-فصل'!F59,"")</f>
        <v>47927.5</v>
      </c>
      <c r="F19" s="16">
        <f>IF('ن-فصل'!G59&gt;0,'ن-فصل'!G59,"")</f>
        <v>6000</v>
      </c>
      <c r="G19" s="137">
        <f>IF('ن-فصل'!H59&gt;0,'ن-فصل'!H59,"")</f>
        <v>47500</v>
      </c>
      <c r="H19" s="69">
        <f t="shared" si="5"/>
        <v>0.89622641509433965</v>
      </c>
    </row>
    <row r="20" spans="2:8" x14ac:dyDescent="0.2">
      <c r="B20" s="32" t="str">
        <f>'ن-فرعي'!B243:K243</f>
        <v>الفصل الخامس: نفقات التزامات البحث العلمي المدورة من سنوات سابقة</v>
      </c>
      <c r="C20" s="16">
        <f>IF('ن-فصل'!D61&gt;0,'ن-فصل'!D61,"")</f>
        <v>700000</v>
      </c>
      <c r="D20" s="171">
        <f>IF('ن-فصل'!E61&gt;0,'ن-فصل'!E61,"")</f>
        <v>684000</v>
      </c>
      <c r="E20" s="16">
        <f>IF('ن-فصل'!F61&gt;0,'ن-فصل'!F61,"")</f>
        <v>267208.53100000002</v>
      </c>
      <c r="F20" s="16">
        <f>IF('ن-فصل'!G61&gt;0,'ن-فصل'!G61,"")</f>
        <v>415893.59399999998</v>
      </c>
      <c r="G20" s="137">
        <f>IF('ن-فصل'!H61&gt;0,'ن-فصل'!H61,"")</f>
        <v>620000</v>
      </c>
      <c r="H20" s="69">
        <f t="shared" si="5"/>
        <v>0.88571428571428568</v>
      </c>
    </row>
    <row r="21" spans="2:8" x14ac:dyDescent="0.2">
      <c r="B21" s="32" t="str">
        <f>'ن-فرعي'!B248:K248</f>
        <v>الفصل السادس: أجهزة وتجهيزات وحواسيب للتدريس والبحث العلمي</v>
      </c>
      <c r="C21" s="16">
        <f>IF('ن-فصل'!D65&gt;0,'ن-فصل'!D65,"")</f>
        <v>240137</v>
      </c>
      <c r="D21" s="171">
        <f>IF('ن-فصل'!E65&gt;0,'ن-فصل'!E65,"")</f>
        <v>116137</v>
      </c>
      <c r="E21" s="16">
        <f>IF('ن-فصل'!F65&gt;0,'ن-فصل'!F65,"")</f>
        <v>35890.960999999996</v>
      </c>
      <c r="F21" s="16">
        <f>IF('ن-فصل'!G65&gt;0,'ن-فصل'!G65,"")</f>
        <v>74896.240999999995</v>
      </c>
      <c r="G21" s="137">
        <f>IF('ن-فصل'!H65&gt;0,'ن-فصل'!H65,"")</f>
        <v>445000</v>
      </c>
      <c r="H21" s="69">
        <f t="shared" si="5"/>
        <v>1.8531088503645836</v>
      </c>
    </row>
    <row r="22" spans="2:8" x14ac:dyDescent="0.2">
      <c r="B22" s="32" t="str">
        <f>'ن-فرعي'!B260:K260</f>
        <v>الفصل السابع: الكتب والدوريات الورقية والالكترونية</v>
      </c>
      <c r="C22" s="16">
        <f>IF('ن-فصل'!D67&gt;0,'ن-فصل'!D67,"")</f>
        <v>21000</v>
      </c>
      <c r="D22" s="171">
        <f>IF('ن-فصل'!E67&gt;0,'ن-فصل'!E67,"")</f>
        <v>1000</v>
      </c>
      <c r="E22" s="16">
        <f>IF('ن-فصل'!F67&gt;0,'ن-فصل'!F67,"")</f>
        <v>201</v>
      </c>
      <c r="F22" s="16" t="str">
        <f>IF('ن-فصل'!G67&gt;0,'ن-فصل'!G67,"")</f>
        <v/>
      </c>
      <c r="G22" s="137">
        <f>IF('ن-فصل'!H67&gt;0,'ن-فصل'!H67,"")</f>
        <v>35000</v>
      </c>
      <c r="H22" s="69">
        <f t="shared" si="5"/>
        <v>1.6666666666666667</v>
      </c>
    </row>
    <row r="23" spans="2:8" x14ac:dyDescent="0.2">
      <c r="B23" s="295" t="str">
        <f>'ن-فرعي'!B266:E266</f>
        <v>مجموع الباب الثاني: نفقات البحث العلمي</v>
      </c>
      <c r="C23" s="140">
        <f t="shared" ref="C23:G23" si="6">SUM(C16:C22)</f>
        <v>1891137</v>
      </c>
      <c r="D23" s="173">
        <f t="shared" si="6"/>
        <v>1891137</v>
      </c>
      <c r="E23" s="140">
        <f t="shared" si="6"/>
        <v>1322014.7219999998</v>
      </c>
      <c r="F23" s="140">
        <f t="shared" si="6"/>
        <v>505450.39499999996</v>
      </c>
      <c r="G23" s="140">
        <f t="shared" si="6"/>
        <v>2128500</v>
      </c>
      <c r="H23" s="69">
        <f t="shared" si="5"/>
        <v>1.1255133816323195</v>
      </c>
    </row>
    <row r="24" spans="2:8" x14ac:dyDescent="0.2">
      <c r="B24" s="425" t="str">
        <f>'ن-فرعي'!B267:K267</f>
        <v>الباب الثالث: نفقات البعثات العلمية والدورات التدريبية</v>
      </c>
      <c r="C24" s="426"/>
      <c r="D24" s="426"/>
      <c r="E24" s="426"/>
      <c r="F24" s="426"/>
      <c r="G24" s="426"/>
      <c r="H24" s="427"/>
    </row>
    <row r="25" spans="2:8" x14ac:dyDescent="0.2">
      <c r="B25" s="32" t="str">
        <f>'ن-فرعي'!B268:K268</f>
        <v>الفصل الأول: نفقات البعثات العلمية والدورات التدريبية</v>
      </c>
      <c r="C25" s="16">
        <f>IF('ن-فصل'!D71&gt;0,'ن-فصل'!D71,"")</f>
        <v>410000</v>
      </c>
      <c r="D25" s="171">
        <f>IF('ن-فصل'!E71&gt;0,'ن-فصل'!E71,"")</f>
        <v>410000</v>
      </c>
      <c r="E25" s="16">
        <f>IF('ن-فصل'!F71&gt;0,'ن-فصل'!F71,"")</f>
        <v>295303.71399999998</v>
      </c>
      <c r="F25" s="16" t="str">
        <f>IF('ن-فصل'!G71&gt;0,'ن-فصل'!G71,"")</f>
        <v/>
      </c>
      <c r="G25" s="137">
        <f>IF('ن-فصل'!H71&gt;0,'ن-فصل'!H71,"")</f>
        <v>310000</v>
      </c>
      <c r="H25" s="69">
        <f>IFERROR(G25/C25,"")</f>
        <v>0.75609756097560976</v>
      </c>
    </row>
    <row r="26" spans="2:8" x14ac:dyDescent="0.2">
      <c r="B26" s="295" t="str">
        <f>'ن-فرعي'!B276:E276</f>
        <v>مجموع الباب الثالث: نفقات البعثات العلمية والدورات التدريبية</v>
      </c>
      <c r="C26" s="138">
        <f t="shared" ref="C26:G26" si="7">SUM(C25)</f>
        <v>410000</v>
      </c>
      <c r="D26" s="172">
        <f t="shared" si="7"/>
        <v>410000</v>
      </c>
      <c r="E26" s="138">
        <f t="shared" si="7"/>
        <v>295303.71399999998</v>
      </c>
      <c r="F26" s="138">
        <f t="shared" si="7"/>
        <v>0</v>
      </c>
      <c r="G26" s="138">
        <f t="shared" si="7"/>
        <v>310000</v>
      </c>
      <c r="H26" s="69">
        <f>IFERROR(G26/C26,"")</f>
        <v>0.75609756097560976</v>
      </c>
    </row>
    <row r="27" spans="2:8" x14ac:dyDescent="0.2">
      <c r="B27" s="425" t="str">
        <f>'ن-فرعي'!B277:K277</f>
        <v>الباب الرابع: النفقات الرأسمالية</v>
      </c>
      <c r="C27" s="426"/>
      <c r="D27" s="426"/>
      <c r="E27" s="426"/>
      <c r="F27" s="426"/>
      <c r="G27" s="426"/>
      <c r="H27" s="427"/>
    </row>
    <row r="28" spans="2:8" x14ac:dyDescent="0.2">
      <c r="B28" s="32" t="str">
        <f>'ن-فرعي'!B278:K278</f>
        <v>الفصل الأول: رخص متنوعة وتطوير التقنيات المختلفة</v>
      </c>
      <c r="C28" s="16">
        <f>IF('ن-فصل'!D75&gt;0,'ن-فصل'!D75,"")</f>
        <v>221000</v>
      </c>
      <c r="D28" s="171">
        <f>IF('ن-فصل'!E75&gt;0,'ن-فصل'!E75,"")</f>
        <v>221000</v>
      </c>
      <c r="E28" s="16">
        <f>IF('ن-فصل'!F75&gt;0,'ن-فصل'!F75,"")</f>
        <v>1849.4380000000001</v>
      </c>
      <c r="F28" s="16">
        <f>IF('ن-فصل'!G75&gt;0,'ن-فصل'!G75,"")</f>
        <v>48200</v>
      </c>
      <c r="G28" s="137">
        <f>IF('ن-فصل'!H75&gt;0,'ن-فصل'!H75,"")</f>
        <v>334500</v>
      </c>
      <c r="H28" s="69">
        <f t="shared" ref="H28:H35" si="8">IFERROR(G28/C28,"")</f>
        <v>1.5135746606334841</v>
      </c>
    </row>
    <row r="29" spans="2:8" x14ac:dyDescent="0.2">
      <c r="B29" s="32" t="str">
        <f>'ن-فرعي'!B290:K290</f>
        <v>الفصل الثاني: التجهيزات المكتبية والأثاث</v>
      </c>
      <c r="C29" s="16">
        <f>IF('ن-فصل'!D79&gt;0,'ن-فصل'!D79,"")</f>
        <v>787000</v>
      </c>
      <c r="D29" s="171">
        <f>IF('ن-فصل'!E79&gt;0,'ن-فصل'!E79,"")</f>
        <v>787000</v>
      </c>
      <c r="E29" s="16">
        <f>IF('ن-فصل'!F79&gt;0,'ن-فصل'!F79,"")</f>
        <v>6511.4480000000003</v>
      </c>
      <c r="F29" s="16">
        <f>IF('ن-فصل'!G79&gt;0,'ن-فصل'!G79,"")</f>
        <v>24227.252</v>
      </c>
      <c r="G29" s="137">
        <f>IF('ن-فصل'!H79&gt;0,'ن-فصل'!H79,"")</f>
        <v>145000</v>
      </c>
      <c r="H29" s="69">
        <f t="shared" si="8"/>
        <v>0.18424396442185514</v>
      </c>
    </row>
    <row r="30" spans="2:8" x14ac:dyDescent="0.2">
      <c r="B30" s="32" t="str">
        <f>'ن-فرعي'!B311:K311</f>
        <v xml:space="preserve">الفصل الثالث: الآليات والأجهزة والمعدات </v>
      </c>
      <c r="C30" s="16">
        <f>IF('ن-فصل'!D83&gt;0,'ن-فصل'!D83,"")</f>
        <v>217000</v>
      </c>
      <c r="D30" s="171">
        <f>IF('ن-فصل'!E83&gt;0,'ن-فصل'!E83,"")</f>
        <v>217000</v>
      </c>
      <c r="E30" s="16">
        <f>IF('ن-فصل'!F83&gt;0,'ن-فصل'!F83,"")</f>
        <v>4549.2340000000004</v>
      </c>
      <c r="F30" s="16">
        <f>IF('ن-فصل'!G83&gt;0,'ن-فصل'!G83,"")</f>
        <v>4600.7659999999996</v>
      </c>
      <c r="G30" s="137">
        <f>IF('ن-فصل'!H83&gt;0,'ن-فصل'!H83,"")</f>
        <v>200000</v>
      </c>
      <c r="H30" s="69">
        <f t="shared" si="8"/>
        <v>0.92165898617511521</v>
      </c>
    </row>
    <row r="31" spans="2:8" x14ac:dyDescent="0.2">
      <c r="B31" s="32" t="str">
        <f>'ن-فرعي'!B329:K329</f>
        <v>الفصل الرابع: الأبنية والمشاريع الإنمائية</v>
      </c>
      <c r="C31" s="16">
        <f>IF('ن-فصل'!D86&gt;0,'ن-فصل'!D86,"")</f>
        <v>860000</v>
      </c>
      <c r="D31" s="171">
        <f>IF('ن-فصل'!E86&gt;0,'ن-فصل'!E86,"")</f>
        <v>860000</v>
      </c>
      <c r="E31" s="16">
        <f>IF('ن-فصل'!F86&gt;0,'ن-فصل'!F86,"")</f>
        <v>416069.48</v>
      </c>
      <c r="F31" s="16">
        <f>IF('ن-فصل'!G86&gt;0,'ن-فصل'!G86,"")</f>
        <v>127149.469</v>
      </c>
      <c r="G31" s="137">
        <f>IF('ن-فصل'!H86&gt;0,'ن-فصل'!H86,"")</f>
        <v>315000</v>
      </c>
      <c r="H31" s="69">
        <f t="shared" si="8"/>
        <v>0.36627906976744184</v>
      </c>
    </row>
    <row r="32" spans="2:8" x14ac:dyDescent="0.2">
      <c r="B32" s="32" t="str">
        <f>'ن-فرعي'!B338:K338</f>
        <v xml:space="preserve">الفصل الخامس: الأشغال والمرافق العامة </v>
      </c>
      <c r="C32" s="16">
        <f>IF('ن-فصل'!D90&gt;0,'ن-فصل'!D90,"")</f>
        <v>303000</v>
      </c>
      <c r="D32" s="171">
        <f>IF('ن-فصل'!E90&gt;0,'ن-فصل'!E90,"")</f>
        <v>303000</v>
      </c>
      <c r="E32" s="16">
        <f>IF('ن-فصل'!F90&gt;0,'ن-فصل'!F90,"")</f>
        <v>6862.5</v>
      </c>
      <c r="F32" s="16">
        <f>IF('ن-فصل'!G90&gt;0,'ن-فصل'!G90,"")</f>
        <v>3637.5</v>
      </c>
      <c r="G32" s="137">
        <f>IF('ن-فصل'!H90&gt;0,'ن-فصل'!H90,"")</f>
        <v>315000</v>
      </c>
      <c r="H32" s="69">
        <f t="shared" si="8"/>
        <v>1.0396039603960396</v>
      </c>
    </row>
    <row r="33" spans="2:11" x14ac:dyDescent="0.2">
      <c r="B33" s="32" t="str">
        <f>'ن-فرعي'!B355:K355</f>
        <v>الفصل السادس: نفقات الالتزامات الرأسمالية المدورة</v>
      </c>
      <c r="C33" s="16">
        <f>IF('ن-فصل'!D92&gt;0,'ن-فصل'!D92,"")</f>
        <v>1450000</v>
      </c>
      <c r="D33" s="171">
        <f>IF('ن-فصل'!E92&gt;0,'ن-فصل'!E92,"")</f>
        <v>1450000</v>
      </c>
      <c r="E33" s="16">
        <f>IF('ن-فصل'!F92&gt;0,'ن-فصل'!F92,"")</f>
        <v>430561.71399999998</v>
      </c>
      <c r="F33" s="16">
        <f>IF('ن-فصل'!G92&gt;0,'ن-فصل'!G92,"")</f>
        <v>578981.00300000003</v>
      </c>
      <c r="G33" s="137">
        <f>IF('ن-فصل'!H92&gt;0,'ن-فصل'!H92,"")</f>
        <v>884000</v>
      </c>
      <c r="H33" s="69">
        <f t="shared" si="8"/>
        <v>0.60965517241379308</v>
      </c>
    </row>
    <row r="34" spans="2:11" x14ac:dyDescent="0.2">
      <c r="B34" s="295" t="str">
        <f>'ن-فرعي'!B360:E360</f>
        <v>مجموع الباب الرابع: النفقات الرأسمالية</v>
      </c>
      <c r="C34" s="138">
        <f t="shared" ref="C34:G34" si="9">SUM(C28:C33)</f>
        <v>3838000</v>
      </c>
      <c r="D34" s="172">
        <f t="shared" si="9"/>
        <v>3838000</v>
      </c>
      <c r="E34" s="138">
        <f t="shared" si="9"/>
        <v>866403.81400000001</v>
      </c>
      <c r="F34" s="138">
        <f t="shared" si="9"/>
        <v>786795.99</v>
      </c>
      <c r="G34" s="138">
        <f t="shared" si="9"/>
        <v>2193500</v>
      </c>
      <c r="H34" s="69">
        <f t="shared" si="8"/>
        <v>0.57152162584679522</v>
      </c>
    </row>
    <row r="35" spans="2:11" x14ac:dyDescent="0.2">
      <c r="B35" s="296" t="str">
        <f>'ن-فرعي'!B361:E361</f>
        <v>المجموع العام للموازنة</v>
      </c>
      <c r="C35" s="192">
        <f t="shared" ref="C35:G35" si="10">C14+C23+C26+C34</f>
        <v>36380000</v>
      </c>
      <c r="D35" s="193">
        <f t="shared" si="10"/>
        <v>37162000</v>
      </c>
      <c r="E35" s="192">
        <f t="shared" si="10"/>
        <v>30655530.927999999</v>
      </c>
      <c r="F35" s="192">
        <f t="shared" si="10"/>
        <v>2310354.9509999999</v>
      </c>
      <c r="G35" s="192">
        <f t="shared" si="10"/>
        <v>35724000</v>
      </c>
      <c r="H35" s="69">
        <f t="shared" si="8"/>
        <v>0.98196811434854314</v>
      </c>
    </row>
    <row r="36" spans="2:11" s="1" customFormat="1" x14ac:dyDescent="0.2">
      <c r="B36" s="413"/>
      <c r="C36" s="414"/>
      <c r="D36" s="414"/>
      <c r="E36" s="414"/>
      <c r="F36" s="414"/>
      <c r="G36" s="414"/>
      <c r="H36" s="415"/>
    </row>
    <row r="37" spans="2:11" s="274" customFormat="1" x14ac:dyDescent="0.2">
      <c r="B37" s="304" t="s">
        <v>599</v>
      </c>
      <c r="C37" s="419">
        <v>2019</v>
      </c>
      <c r="D37" s="419"/>
      <c r="E37" s="419"/>
      <c r="F37" s="419"/>
      <c r="G37" s="420">
        <v>2020</v>
      </c>
      <c r="H37" s="421"/>
      <c r="I37" s="46"/>
      <c r="J37" s="46"/>
      <c r="K37" s="46"/>
    </row>
    <row r="38" spans="2:11" x14ac:dyDescent="0.2">
      <c r="B38" s="425" t="str">
        <f>'ن-فرعي'!B364:K364</f>
        <v>الباب الأول: الاستخدامات</v>
      </c>
      <c r="C38" s="426"/>
      <c r="D38" s="426"/>
      <c r="E38" s="426"/>
      <c r="F38" s="426"/>
      <c r="G38" s="426"/>
      <c r="H38" s="427"/>
    </row>
    <row r="39" spans="2:11" x14ac:dyDescent="0.2">
      <c r="B39" s="32" t="str">
        <f>'ن-فرعي'!B365:K365</f>
        <v>تسديد عجز الموازنة الحالي وذمة عجز موازنة التمويل المتراكم والقروض المستحقة</v>
      </c>
      <c r="C39" s="248">
        <f>IF('ن-فصل'!D102&gt;0,'ن-فصل'!D102,"")</f>
        <v>16000000</v>
      </c>
      <c r="D39" s="265">
        <f>IF('ن-فصل'!E102&gt;0,'ن-فصل'!E102,"")</f>
        <v>14795000</v>
      </c>
      <c r="E39" s="248">
        <f>IF('ن-فصل'!F102&gt;0,'ن-فصل'!F102,"")</f>
        <v>13790592.323000001</v>
      </c>
      <c r="F39" s="248" t="str">
        <f>IF('ن-فصل'!G102&gt;0,'ن-فصل'!G102,"")</f>
        <v/>
      </c>
      <c r="G39" s="137">
        <f>IF('ن-فصل'!H102&gt;0,'ن-فصل'!H102,"")</f>
        <v>23090000</v>
      </c>
      <c r="H39" s="69">
        <f>IFERROR(G39/C39,"")</f>
        <v>1.443125</v>
      </c>
    </row>
    <row r="40" spans="2:11" x14ac:dyDescent="0.2">
      <c r="B40" s="266" t="s">
        <v>608</v>
      </c>
      <c r="C40" s="53">
        <f>SUM(C39)</f>
        <v>16000000</v>
      </c>
      <c r="D40" s="53">
        <f t="shared" ref="D40:G40" si="11">SUM(D39)</f>
        <v>14795000</v>
      </c>
      <c r="E40" s="53">
        <f t="shared" si="11"/>
        <v>13790592.323000001</v>
      </c>
      <c r="F40" s="53">
        <f t="shared" si="11"/>
        <v>0</v>
      </c>
      <c r="G40" s="53">
        <f t="shared" si="11"/>
        <v>23090000</v>
      </c>
      <c r="H40" s="69">
        <f>IFERROR(G40/C40,"")</f>
        <v>1.443125</v>
      </c>
    </row>
    <row r="41" spans="2:11" x14ac:dyDescent="0.2">
      <c r="B41" s="410"/>
      <c r="C41" s="411"/>
      <c r="D41" s="411"/>
      <c r="E41" s="411"/>
      <c r="F41" s="411"/>
      <c r="G41" s="411"/>
      <c r="H41" s="412"/>
    </row>
    <row r="42" spans="2:11" x14ac:dyDescent="0.2">
      <c r="B42" s="304" t="s">
        <v>611</v>
      </c>
      <c r="C42" s="419">
        <v>2019</v>
      </c>
      <c r="D42" s="419"/>
      <c r="E42" s="419"/>
      <c r="F42" s="419"/>
      <c r="G42" s="420">
        <v>2020</v>
      </c>
      <c r="H42" s="421"/>
    </row>
    <row r="43" spans="2:11" x14ac:dyDescent="0.2">
      <c r="B43" s="407" t="s">
        <v>654</v>
      </c>
      <c r="C43" s="408"/>
      <c r="D43" s="408"/>
      <c r="E43" s="408"/>
      <c r="F43" s="408"/>
      <c r="G43" s="408"/>
      <c r="H43" s="409"/>
      <c r="I43" s="252"/>
      <c r="J43" s="252"/>
      <c r="K43" s="252"/>
    </row>
    <row r="44" spans="2:11" x14ac:dyDescent="0.2">
      <c r="B44" s="32" t="str">
        <f>'ن-فرعي'!B377:K377</f>
        <v>الفصل الأول: نفقات مشاريع وأجهزة وتجهيزات مشروطة بالتمويل</v>
      </c>
      <c r="C44" s="16">
        <f>IF('ن-فصل'!D108&gt;0,'ن-فصل'!D108,"")</f>
        <v>10500000</v>
      </c>
      <c r="D44" s="171">
        <f>IF('ن-فصل'!E108&gt;0,'ن-فصل'!E108,"")</f>
        <v>10500000</v>
      </c>
      <c r="E44" s="16">
        <f>IF('ن-فصل'!F108&gt;0,'ن-فصل'!F108,"")</f>
        <v>1619730.4639999999</v>
      </c>
      <c r="F44" s="16">
        <f>IF('ن-فصل'!G108&gt;0,'ن-فصل'!G108,"")</f>
        <v>475436.56599999999</v>
      </c>
      <c r="G44" s="137">
        <f>IF('ن-فصل'!H108&gt;0,'ن-فصل'!H108,"")</f>
        <v>8500000</v>
      </c>
      <c r="H44" s="69">
        <f>IFERROR(G44/C44,"")</f>
        <v>0.80952380952380953</v>
      </c>
    </row>
    <row r="45" spans="2:11" x14ac:dyDescent="0.2">
      <c r="B45" s="32" t="str">
        <f>'ن-فرعي'!B402:K402</f>
        <v>الفصل الثاني: نفقات الرسوم الجامعية التي تتحملها الجامعة (نفقات غير نقدية)</v>
      </c>
      <c r="C45" s="16">
        <f>IF('ن-فصل'!D110&gt;0,'ن-فصل'!D110,"")</f>
        <v>1120000</v>
      </c>
      <c r="D45" s="16">
        <f>IF('ن-فصل'!E110&gt;0,'ن-فصل'!E110,"")</f>
        <v>1543000</v>
      </c>
      <c r="E45" s="16">
        <f>IF('ن-فصل'!F110&gt;0,'ن-فصل'!F110,"")</f>
        <v>1503386.7000000002</v>
      </c>
      <c r="F45" s="16" t="str">
        <f>IF('ن-فصل'!G110&gt;0,'ن-فصل'!G110,"")</f>
        <v/>
      </c>
      <c r="G45" s="137">
        <f>IF('ن-فصل'!H110&gt;0,'ن-فصل'!H110,"")</f>
        <v>1500000</v>
      </c>
      <c r="H45" s="69">
        <f>IFERROR(G45/C45,"")</f>
        <v>1.3392857142857142</v>
      </c>
    </row>
    <row r="46" spans="2:11" ht="15" thickBot="1" x14ac:dyDescent="0.25">
      <c r="B46" s="267" t="s">
        <v>658</v>
      </c>
      <c r="C46" s="268">
        <f>SUM(C44:C45)</f>
        <v>11620000</v>
      </c>
      <c r="D46" s="268">
        <f t="shared" ref="D46:G46" si="12">SUM(D44:D45)</f>
        <v>12043000</v>
      </c>
      <c r="E46" s="268">
        <f t="shared" si="12"/>
        <v>3123117.1639999999</v>
      </c>
      <c r="F46" s="268">
        <f t="shared" si="12"/>
        <v>475436.56599999999</v>
      </c>
      <c r="G46" s="268">
        <f t="shared" si="12"/>
        <v>10000000</v>
      </c>
      <c r="H46" s="212">
        <f>IFERROR(G46/C46,"")</f>
        <v>0.86058519793459554</v>
      </c>
    </row>
    <row r="48" spans="2:11" x14ac:dyDescent="0.2">
      <c r="C48" s="253">
        <f>C35+C40+C46</f>
        <v>64000000</v>
      </c>
      <c r="D48" s="253">
        <f t="shared" ref="D48:G48" si="13">D35+D40+D46</f>
        <v>64000000</v>
      </c>
      <c r="E48" s="253">
        <f t="shared" si="13"/>
        <v>47569240.414999999</v>
      </c>
      <c r="F48" s="253">
        <f t="shared" si="13"/>
        <v>2785791.517</v>
      </c>
      <c r="G48" s="253">
        <f t="shared" si="13"/>
        <v>68814000</v>
      </c>
    </row>
    <row r="49" spans="3:7" x14ac:dyDescent="0.2">
      <c r="C49" s="253">
        <f>'ن-فصل'!D113-'ن-باب'!C48</f>
        <v>0</v>
      </c>
      <c r="D49" s="253">
        <f>'ن-فصل'!E113-'ن-باب'!D48</f>
        <v>0</v>
      </c>
      <c r="E49" s="253">
        <f>'ن-فصل'!F113-'ن-باب'!E48</f>
        <v>0</v>
      </c>
      <c r="F49" s="253">
        <f>'ن-فصل'!G113-'ن-باب'!F48</f>
        <v>0</v>
      </c>
      <c r="G49" s="253">
        <f>'ن-فصل'!H113-'ن-باب'!G48</f>
        <v>0</v>
      </c>
    </row>
  </sheetData>
  <mergeCells count="17">
    <mergeCell ref="B1:H1"/>
    <mergeCell ref="B4:H4"/>
    <mergeCell ref="B15:H15"/>
    <mergeCell ref="B24:H24"/>
    <mergeCell ref="B27:H27"/>
    <mergeCell ref="B2:B3"/>
    <mergeCell ref="C3:F3"/>
    <mergeCell ref="G3:H3"/>
    <mergeCell ref="J4:O4"/>
    <mergeCell ref="B38:H38"/>
    <mergeCell ref="B43:H43"/>
    <mergeCell ref="B41:H41"/>
    <mergeCell ref="C42:F42"/>
    <mergeCell ref="G42:H42"/>
    <mergeCell ref="B36:H36"/>
    <mergeCell ref="C37:F37"/>
    <mergeCell ref="G37:H37"/>
  </mergeCells>
  <conditionalFormatting sqref="B1:H46">
    <cfRule type="containsBlanks" dxfId="36" priority="1">
      <formula>LEN(TRIM(B1))=0</formula>
    </cfRule>
  </conditionalFormatting>
  <pageMargins left="0.15748031496062992" right="0.23622047244094491" top="0.78740157480314965" bottom="0.74803149606299213" header="0.31496062992125984" footer="0.31496062992125984"/>
  <pageSetup paperSize="9" scale="93" orientation="portrait" r:id="rId1"/>
  <headerFooter>
    <oddHeader>&amp;C&amp;"Andalus,Bold"&amp;20جامعة آل البيت</oddHeader>
    <oddFooter>&amp;L&amp;"Andalus,Bold"&amp;10إعداد دائرة الشؤون المالية/ شعبة الموازنة &amp;C&amp;P+2
&amp;R&amp;"Andalus,Bold"&amp;10مشروع موازنة للجامعة لعام 2020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55"/>
  <sheetViews>
    <sheetView rightToLeft="1" zoomScaleNormal="100" workbookViewId="0">
      <pane ySplit="3" topLeftCell="A39" activePane="bottomLeft" state="frozen"/>
      <selection activeCell="B16" sqref="B16:J18"/>
      <selection pane="bottomLeft" activeCell="D2" sqref="D1:G1048576"/>
    </sheetView>
  </sheetViews>
  <sheetFormatPr defaultRowHeight="14.25" x14ac:dyDescent="0.2"/>
  <cols>
    <col min="1" max="1" width="1.625" customWidth="1"/>
    <col min="2" max="2" width="9" style="49" bestFit="1" customWidth="1"/>
    <col min="3" max="3" width="49.625" customWidth="1"/>
    <col min="4" max="6" width="7.625" style="141" bestFit="1" customWidth="1"/>
    <col min="7" max="7" width="4.5" style="210" bestFit="1" customWidth="1"/>
  </cols>
  <sheetData>
    <row r="1" spans="2:7" s="197" customFormat="1" ht="15.75" x14ac:dyDescent="0.2">
      <c r="B1" s="429" t="s">
        <v>670</v>
      </c>
      <c r="C1" s="423"/>
      <c r="D1" s="423"/>
      <c r="E1" s="423"/>
      <c r="F1" s="423"/>
      <c r="G1" s="424"/>
    </row>
    <row r="2" spans="2:7" s="197" customFormat="1" ht="12.75" customHeight="1" x14ac:dyDescent="0.2">
      <c r="B2" s="428" t="str">
        <f>'ن-فصل'!B2</f>
        <v>رمز الفصل الفرعي</v>
      </c>
      <c r="C2" s="453" t="str">
        <f>'ن-فصل'!C2</f>
        <v>الفصول الفرعية المُدرجة تحت الفصل</v>
      </c>
      <c r="D2" s="302" t="s">
        <v>603</v>
      </c>
      <c r="E2" s="292" t="s">
        <v>605</v>
      </c>
      <c r="F2" s="302" t="s">
        <v>603</v>
      </c>
      <c r="G2" s="303" t="s">
        <v>651</v>
      </c>
    </row>
    <row r="3" spans="2:7" s="197" customFormat="1" ht="12.75" x14ac:dyDescent="0.2">
      <c r="B3" s="428"/>
      <c r="C3" s="453"/>
      <c r="D3" s="419">
        <v>2019</v>
      </c>
      <c r="E3" s="419"/>
      <c r="F3" s="420">
        <v>2020</v>
      </c>
      <c r="G3" s="421"/>
    </row>
    <row r="4" spans="2:7" x14ac:dyDescent="0.2">
      <c r="B4" s="214">
        <v>10102000</v>
      </c>
      <c r="C4" s="22" t="str">
        <f>'ر-فرعي'!C6:I6</f>
        <v>الرسوم الجامعية / النظام العادي</v>
      </c>
      <c r="D4" s="16">
        <f>IF('ر-فرعي'!F12&gt;0,'ر-فرعي'!F12,"")</f>
        <v>7183000</v>
      </c>
      <c r="E4" s="16">
        <f>IF('ر-فرعي'!G12&gt;0,'ر-فرعي'!G12,"")</f>
        <v>8604959.5419999994</v>
      </c>
      <c r="F4" s="137">
        <f>IF('ر-فرعي'!H12&gt;0,'ر-فرعي'!H12,"")</f>
        <v>8896000</v>
      </c>
      <c r="G4" s="112">
        <f t="shared" ref="G4:G33" si="0">IFERROR(F4/D4,"")</f>
        <v>1.2384797438396213</v>
      </c>
    </row>
    <row r="5" spans="2:7" x14ac:dyDescent="0.2">
      <c r="B5" s="214">
        <v>10103000</v>
      </c>
      <c r="C5" s="22" t="str">
        <f>'ر-فرعي'!C13:I13</f>
        <v>الرسوم الجامعية / النظام المسائي</v>
      </c>
      <c r="D5" s="16">
        <f>IF('ر-فرعي'!F17&gt;0,'ر-فرعي'!F17,"")</f>
        <v>1450</v>
      </c>
      <c r="E5" s="16">
        <f>IF('ر-فرعي'!G17&gt;0,'ر-فرعي'!G17,"")</f>
        <v>1383</v>
      </c>
      <c r="F5" s="137">
        <f>IF('ر-فرعي'!H17&gt;0,'ر-فرعي'!H17,"")</f>
        <v>1550</v>
      </c>
      <c r="G5" s="112">
        <f t="shared" si="0"/>
        <v>1.0689655172413792</v>
      </c>
    </row>
    <row r="6" spans="2:7" x14ac:dyDescent="0.2">
      <c r="B6" s="214">
        <v>10104000</v>
      </c>
      <c r="C6" s="22" t="str">
        <f>'ر-فرعي'!C18:I18</f>
        <v>الرسوم الجامعية / النظام الموازي</v>
      </c>
      <c r="D6" s="16">
        <f>IF('ر-فرعي'!F24&gt;0,'ر-فرعي'!F24,"")</f>
        <v>7085000</v>
      </c>
      <c r="E6" s="16">
        <f>IF('ر-فرعي'!G24&gt;0,'ر-فرعي'!G24,"")</f>
        <v>6802239.5540000005</v>
      </c>
      <c r="F6" s="137">
        <f>IF('ر-فرعي'!H24&gt;0,'ر-فرعي'!H24,"")</f>
        <v>7140000</v>
      </c>
      <c r="G6" s="112">
        <f t="shared" si="0"/>
        <v>1.0077628793225124</v>
      </c>
    </row>
    <row r="7" spans="2:7" x14ac:dyDescent="0.2">
      <c r="B7" s="214">
        <v>10107000</v>
      </c>
      <c r="C7" s="22" t="str">
        <f>'ر-فرعي'!C25:I25</f>
        <v>الرسوم الجامعية / ماجستير دولي</v>
      </c>
      <c r="D7" s="16">
        <f>IF('ر-فرعي'!F32&gt;0,'ر-فرعي'!F32,"")</f>
        <v>2135000</v>
      </c>
      <c r="E7" s="16">
        <f>IF('ر-فرعي'!G32&gt;0,'ر-فرعي'!G32,"")</f>
        <v>1198639.0100000002</v>
      </c>
      <c r="F7" s="137">
        <f>IF('ر-فرعي'!H32&gt;0,'ر-فرعي'!H32,"")</f>
        <v>1230000</v>
      </c>
      <c r="G7" s="112">
        <f t="shared" si="0"/>
        <v>0.57611241217798592</v>
      </c>
    </row>
    <row r="8" spans="2:7" x14ac:dyDescent="0.2">
      <c r="B8" s="214">
        <v>10108000</v>
      </c>
      <c r="C8" s="22" t="str">
        <f>'ر-فرعي'!C33:I33</f>
        <v>الرسوم الجامعية / ماجستير عادي</v>
      </c>
      <c r="D8" s="16">
        <f>IF('ر-فرعي'!F40&gt;0,'ر-فرعي'!F40,"")</f>
        <v>2668000</v>
      </c>
      <c r="E8" s="16">
        <f>IF('ر-فرعي'!G40&gt;0,'ر-فرعي'!G40,"")</f>
        <v>2145762.4220000003</v>
      </c>
      <c r="F8" s="137">
        <f>IF('ر-فرعي'!H40&gt;0,'ر-فرعي'!H40,"")</f>
        <v>2350000</v>
      </c>
      <c r="G8" s="112">
        <f t="shared" si="0"/>
        <v>0.88080959520239877</v>
      </c>
    </row>
    <row r="9" spans="2:7" x14ac:dyDescent="0.2">
      <c r="B9" s="214">
        <v>10109000</v>
      </c>
      <c r="C9" s="22" t="str">
        <f>'ر-فرعي'!C41:I41</f>
        <v>الرسوم الجامعية / دكتوراة دولي</v>
      </c>
      <c r="D9" s="16">
        <f>IF('ر-فرعي'!F48&gt;0,'ر-فرعي'!F48,"")</f>
        <v>90500</v>
      </c>
      <c r="E9" s="16" t="str">
        <f>IF('ر-فرعي'!G48&gt;0,'ر-فرعي'!G48,"")</f>
        <v/>
      </c>
      <c r="F9" s="137">
        <f>IF('ر-فرعي'!H48&gt;0,'ر-فرعي'!H48,"")</f>
        <v>31000</v>
      </c>
      <c r="G9" s="112">
        <f t="shared" si="0"/>
        <v>0.34254143646408841</v>
      </c>
    </row>
    <row r="10" spans="2:7" x14ac:dyDescent="0.2">
      <c r="B10" s="214">
        <v>10110000</v>
      </c>
      <c r="C10" s="22" t="str">
        <f>'ر-فرعي'!C49:I49</f>
        <v>الرسوم الجامعية / دكتوراة عادي</v>
      </c>
      <c r="D10" s="16">
        <f>IF('ر-فرعي'!F56&gt;0,'ر-فرعي'!F56,"")</f>
        <v>119500</v>
      </c>
      <c r="E10" s="16">
        <f>IF('ر-فرعي'!G56&gt;0,'ر-فرعي'!G56,"")</f>
        <v>90386.5</v>
      </c>
      <c r="F10" s="137">
        <f>IF('ر-فرعي'!H56&gt;0,'ر-فرعي'!H56,"")</f>
        <v>128000</v>
      </c>
      <c r="G10" s="112">
        <f t="shared" si="0"/>
        <v>1.0711297071129706</v>
      </c>
    </row>
    <row r="11" spans="2:7" x14ac:dyDescent="0.2">
      <c r="B11" s="214">
        <v>10111000</v>
      </c>
      <c r="C11" s="22" t="str">
        <f>'ر-فرعي'!C57:I57</f>
        <v>الرسوم الجامعية / دبلوم عالي</v>
      </c>
      <c r="D11" s="16">
        <f>IF('ر-فرعي'!F63&gt;0,'ر-فرعي'!F63,"")</f>
        <v>194500</v>
      </c>
      <c r="E11" s="16">
        <f>IF('ر-فرعي'!G63&gt;0,'ر-فرعي'!G63,"")</f>
        <v>533369.76</v>
      </c>
      <c r="F11" s="137">
        <f>IF('ر-فرعي'!H63&gt;0,'ر-فرعي'!H63,"")</f>
        <v>577000</v>
      </c>
      <c r="G11" s="112">
        <f t="shared" si="0"/>
        <v>2.966580976863753</v>
      </c>
    </row>
    <row r="12" spans="2:7" x14ac:dyDescent="0.2">
      <c r="B12" s="214">
        <v>10120000</v>
      </c>
      <c r="C12" s="22" t="str">
        <f>'ر-فرعي'!C64:I64</f>
        <v>رسوم جامعية مستحقة</v>
      </c>
      <c r="D12" s="16">
        <f>IF('ر-فرعي'!F67&gt;0,'ر-فرعي'!F67,"")</f>
        <v>1090000</v>
      </c>
      <c r="E12" s="16">
        <f>IF('ر-فرعي'!G67&gt;0,'ر-فرعي'!G67,"")</f>
        <v>568203.98600000003</v>
      </c>
      <c r="F12" s="137">
        <f>IF('ر-فرعي'!H67&gt;0,'ر-فرعي'!H67,"")</f>
        <v>880000</v>
      </c>
      <c r="G12" s="112">
        <f t="shared" si="0"/>
        <v>0.80733944954128445</v>
      </c>
    </row>
    <row r="13" spans="2:7" x14ac:dyDescent="0.2">
      <c r="B13" s="442" t="str">
        <f>'ر-فرعي'!B68:E68</f>
        <v>مجموع الفصل الأول: الرسوم الجامعية</v>
      </c>
      <c r="C13" s="443"/>
      <c r="D13" s="142">
        <f>SUM(D4:D12)</f>
        <v>20566950</v>
      </c>
      <c r="E13" s="142">
        <f>SUM(E4:E12)</f>
        <v>19944943.774000004</v>
      </c>
      <c r="F13" s="142">
        <f>SUM(F4:F12)</f>
        <v>21233550</v>
      </c>
      <c r="G13" s="112">
        <f t="shared" si="0"/>
        <v>1.0324112228599769</v>
      </c>
    </row>
    <row r="14" spans="2:7" s="46" customFormat="1" x14ac:dyDescent="0.2">
      <c r="B14" s="449" t="str">
        <f>'ر-فرعي'!B69:E69</f>
        <v>مجموع الباب الأول: الرسوم الجامعية</v>
      </c>
      <c r="C14" s="450"/>
      <c r="D14" s="143">
        <f>SUM(D13)</f>
        <v>20566950</v>
      </c>
      <c r="E14" s="143">
        <f t="shared" ref="E14:F14" si="1">SUM(E13)</f>
        <v>19944943.774000004</v>
      </c>
      <c r="F14" s="143">
        <f t="shared" si="1"/>
        <v>21233550</v>
      </c>
      <c r="G14" s="112">
        <f t="shared" si="0"/>
        <v>1.0324112228599769</v>
      </c>
    </row>
    <row r="15" spans="2:7" x14ac:dyDescent="0.2">
      <c r="B15" s="214">
        <v>11201000</v>
      </c>
      <c r="C15" s="22" t="str">
        <f>'ر-فرعي'!C72:I72</f>
        <v>الدعم الحكومي</v>
      </c>
      <c r="D15" s="16">
        <f>IF('ر-فرعي'!F74&gt;0,'ر-فرعي'!F74,"")</f>
        <v>8000000</v>
      </c>
      <c r="E15" s="16">
        <f>IF('ر-فرعي'!G74&gt;0,'ر-فرعي'!G74,"")</f>
        <v>6435957</v>
      </c>
      <c r="F15" s="137">
        <f>IF('ر-فرعي'!H74&gt;0,'ر-فرعي'!H74,"")</f>
        <v>7600000</v>
      </c>
      <c r="G15" s="112">
        <f t="shared" si="0"/>
        <v>0.95</v>
      </c>
    </row>
    <row r="16" spans="2:7" x14ac:dyDescent="0.2">
      <c r="B16" s="442" t="str">
        <f>'ر-فرعي'!B75:E75</f>
        <v>مجموع الفصل الأول: الدعم الحكومي</v>
      </c>
      <c r="C16" s="443"/>
      <c r="D16" s="142">
        <f t="shared" ref="D16:F16" si="2">D15</f>
        <v>8000000</v>
      </c>
      <c r="E16" s="142">
        <f t="shared" si="2"/>
        <v>6435957</v>
      </c>
      <c r="F16" s="142">
        <f t="shared" si="2"/>
        <v>7600000</v>
      </c>
      <c r="G16" s="112">
        <f t="shared" si="0"/>
        <v>0.95</v>
      </c>
    </row>
    <row r="17" spans="2:7" x14ac:dyDescent="0.2">
      <c r="B17" s="449" t="str">
        <f>'ر-فرعي'!B76:E76</f>
        <v>مجموع الباب الثاني: الدعم الحكومي</v>
      </c>
      <c r="C17" s="450"/>
      <c r="D17" s="143">
        <f>SUM(D16)</f>
        <v>8000000</v>
      </c>
      <c r="E17" s="143">
        <f t="shared" ref="E17:F17" si="3">SUM(E16)</f>
        <v>6435957</v>
      </c>
      <c r="F17" s="143">
        <f t="shared" si="3"/>
        <v>7600000</v>
      </c>
      <c r="G17" s="112">
        <f t="shared" si="0"/>
        <v>0.95</v>
      </c>
    </row>
    <row r="18" spans="2:7" x14ac:dyDescent="0.2">
      <c r="B18" s="214">
        <v>10201000</v>
      </c>
      <c r="C18" s="22" t="str">
        <f>'ر-فرعي'!C79:I79</f>
        <v>فوائد بنكية دائنة</v>
      </c>
      <c r="D18" s="16">
        <f>IF('ر-فرعي'!F81&gt;0,'ر-فرعي'!F81,"")</f>
        <v>300</v>
      </c>
      <c r="E18" s="16">
        <f>IF('ر-فرعي'!G81&gt;0,'ر-فرعي'!G81,"")</f>
        <v>4.8899999999999997</v>
      </c>
      <c r="F18" s="137">
        <f>IF('ر-فرعي'!H81&gt;0,'ر-فرعي'!H81,"")</f>
        <v>300</v>
      </c>
      <c r="G18" s="112">
        <f t="shared" si="0"/>
        <v>1</v>
      </c>
    </row>
    <row r="19" spans="2:7" x14ac:dyDescent="0.2">
      <c r="B19" s="214">
        <v>10203000</v>
      </c>
      <c r="C19" s="22" t="str">
        <f>'ر-فرعي'!C82:I82</f>
        <v>ايرادات بدل سكن المنازل الجامعية</v>
      </c>
      <c r="D19" s="16">
        <f>IF('ر-فرعي'!F88&gt;0,'ر-فرعي'!F88,"")</f>
        <v>56500</v>
      </c>
      <c r="E19" s="16">
        <f>IF('ر-فرعي'!G88&gt;0,'ر-فرعي'!G88,"")</f>
        <v>37162.915999999997</v>
      </c>
      <c r="F19" s="137">
        <f>IF('ر-فرعي'!H88&gt;0,'ر-فرعي'!H88,"")</f>
        <v>42000</v>
      </c>
      <c r="G19" s="112">
        <f t="shared" si="0"/>
        <v>0.74336283185840712</v>
      </c>
    </row>
    <row r="20" spans="2:7" x14ac:dyDescent="0.2">
      <c r="B20" s="214">
        <v>10204000</v>
      </c>
      <c r="C20" s="22" t="str">
        <f>'ر-فرعي'!C89:I89</f>
        <v>بدل ايجار مباني ومرافق الجامعة</v>
      </c>
      <c r="D20" s="16">
        <f>IF('ر-فرعي'!F99&gt;0,'ر-فرعي'!F99,"")</f>
        <v>493000</v>
      </c>
      <c r="E20" s="16">
        <f>IF('ر-فرعي'!G99&gt;0,'ر-فرعي'!G99,"")</f>
        <v>367021.5</v>
      </c>
      <c r="F20" s="137">
        <f>IF('ر-فرعي'!H99&gt;0,'ر-فرعي'!H99,"")</f>
        <v>518000</v>
      </c>
      <c r="G20" s="112">
        <f t="shared" si="0"/>
        <v>1.050709939148073</v>
      </c>
    </row>
    <row r="21" spans="2:7" x14ac:dyDescent="0.2">
      <c r="B21" s="214">
        <v>10205000</v>
      </c>
      <c r="C21" s="22" t="str">
        <f>'ر-فرعي'!C100:I100</f>
        <v>إيراد بدل ايجار مواقع مستحقة عن سنوات سابقة</v>
      </c>
      <c r="D21" s="16">
        <f>IF('ر-فرعي'!F102&gt;0,'ر-فرعي'!F102,"")</f>
        <v>50000</v>
      </c>
      <c r="E21" s="16">
        <f>IF('ر-فرعي'!G102&gt;0,'ر-فرعي'!G102,"")</f>
        <v>284213.51899999997</v>
      </c>
      <c r="F21" s="137">
        <f>IF('ر-فرعي'!H102&gt;0,'ر-فرعي'!H102,"")</f>
        <v>100000</v>
      </c>
      <c r="G21" s="112">
        <f t="shared" si="0"/>
        <v>2</v>
      </c>
    </row>
    <row r="22" spans="2:7" s="46" customFormat="1" x14ac:dyDescent="0.2">
      <c r="B22" s="214">
        <v>10209000</v>
      </c>
      <c r="C22" s="223" t="str">
        <f>'ر-فرعي'!C103:I103</f>
        <v>إيرادات وأرباح مشروع الطاقة الشمسية</v>
      </c>
      <c r="D22" s="248">
        <f>IF('ر-فرعي'!F106&gt;0,'ر-فرعي'!F106,"")</f>
        <v>343250</v>
      </c>
      <c r="E22" s="248" t="str">
        <f>IF('ر-فرعي'!G106&gt;0,'ر-فرعي'!G106,"")</f>
        <v/>
      </c>
      <c r="F22" s="137" t="str">
        <f>IF('ر-فرعي'!H106&gt;0,'ر-فرعي'!H106,"")</f>
        <v/>
      </c>
      <c r="G22" s="112" t="str">
        <f t="shared" si="0"/>
        <v/>
      </c>
    </row>
    <row r="23" spans="2:7" x14ac:dyDescent="0.2">
      <c r="B23" s="442" t="str">
        <f>'ر-فرعي'!B107:E107</f>
        <v>مجموع الفصل الأول: ريع الأموال المنقولة وغير المنقولة</v>
      </c>
      <c r="C23" s="443"/>
      <c r="D23" s="142">
        <f>SUM(D18:D22)</f>
        <v>943050</v>
      </c>
      <c r="E23" s="142">
        <f t="shared" ref="E23:F23" si="4">SUM(E18:E22)</f>
        <v>688402.82499999995</v>
      </c>
      <c r="F23" s="142">
        <f t="shared" si="4"/>
        <v>660300</v>
      </c>
      <c r="G23" s="112">
        <f t="shared" si="0"/>
        <v>0.70017496421186576</v>
      </c>
    </row>
    <row r="24" spans="2:7" x14ac:dyDescent="0.2">
      <c r="B24" s="214">
        <v>11001000</v>
      </c>
      <c r="C24" s="22" t="str">
        <f>'ر-فرعي'!C109:I109</f>
        <v>الإيرادات المتنوعة</v>
      </c>
      <c r="D24" s="16">
        <f>IF('ر-فرعي'!F129&gt;0,'ر-فرعي'!F129,"")</f>
        <v>535000</v>
      </c>
      <c r="E24" s="16">
        <f>IF('ر-فرعي'!G129&gt;0,'ر-فرعي'!G129,"")</f>
        <v>1176562.4369999999</v>
      </c>
      <c r="F24" s="137">
        <f>IF('ر-فرعي'!H129&gt;0,'ر-فرعي'!H129,"")</f>
        <v>541150</v>
      </c>
      <c r="G24" s="112">
        <f t="shared" si="0"/>
        <v>1.0114953271028038</v>
      </c>
    </row>
    <row r="25" spans="2:7" x14ac:dyDescent="0.2">
      <c r="B25" s="214">
        <v>11002000</v>
      </c>
      <c r="C25" s="22" t="str">
        <f>'ر-فرعي'!C130:I130</f>
        <v>إيرادات مركز اللغات</v>
      </c>
      <c r="D25" s="16">
        <f>IF('ر-فرعي'!F132&gt;0,'ر-فرعي'!F132,"")</f>
        <v>110000</v>
      </c>
      <c r="E25" s="16">
        <f>IF('ر-فرعي'!G132&gt;0,'ر-فرعي'!G132,"")</f>
        <v>144599.09</v>
      </c>
      <c r="F25" s="137">
        <f>IF('ر-فرعي'!H132&gt;0,'ر-فرعي'!H132,"")</f>
        <v>150000</v>
      </c>
      <c r="G25" s="112">
        <f t="shared" si="0"/>
        <v>1.3636363636363635</v>
      </c>
    </row>
    <row r="26" spans="2:7" x14ac:dyDescent="0.2">
      <c r="B26" s="214">
        <v>11003000</v>
      </c>
      <c r="C26" s="22" t="str">
        <f>'ر-فرعي'!C133:I133</f>
        <v>ايرادات مركز الاستشارات والخدمات الفنية وتنمية المجتمع</v>
      </c>
      <c r="D26" s="16">
        <f>IF('ر-فرعي'!F135&gt;0,'ر-فرعي'!F135,"")</f>
        <v>50000</v>
      </c>
      <c r="E26" s="16">
        <f>IF('ر-فرعي'!G135&gt;0,'ر-فرعي'!G135,"")</f>
        <v>50116.25</v>
      </c>
      <c r="F26" s="137">
        <f>IF('ر-فرعي'!H135&gt;0,'ر-فرعي'!H135,"")</f>
        <v>50000</v>
      </c>
      <c r="G26" s="112">
        <f t="shared" si="0"/>
        <v>1</v>
      </c>
    </row>
    <row r="27" spans="2:7" x14ac:dyDescent="0.2">
      <c r="B27" s="214">
        <v>11007000</v>
      </c>
      <c r="C27" s="22" t="str">
        <f>'ر-فرعي'!C136:I136</f>
        <v>وحدة الدراسات العمانية</v>
      </c>
      <c r="D27" s="16">
        <f>IF('ر-فرعي'!F138&gt;0,'ر-فرعي'!F138,"")</f>
        <v>100000</v>
      </c>
      <c r="E27" s="16">
        <f>IF('ر-فرعي'!G138&gt;0,'ر-فرعي'!G138,"")</f>
        <v>100000</v>
      </c>
      <c r="F27" s="137">
        <f>IF('ر-فرعي'!H138&gt;0,'ر-فرعي'!H138,"")</f>
        <v>100000</v>
      </c>
      <c r="G27" s="112">
        <f t="shared" si="0"/>
        <v>1</v>
      </c>
    </row>
    <row r="28" spans="2:7" x14ac:dyDescent="0.2">
      <c r="B28" s="442" t="str">
        <f>'ر-فرعي'!B139:E139</f>
        <v>مجموع الفصل الثاني: إيرادات متنوعة ومراكز علمية وسنين سابقة</v>
      </c>
      <c r="C28" s="443"/>
      <c r="D28" s="142">
        <f>SUM(D24:D27)</f>
        <v>795000</v>
      </c>
      <c r="E28" s="142">
        <f>SUM(E24:E27)</f>
        <v>1471277.777</v>
      </c>
      <c r="F28" s="142">
        <f>SUM(F24:F27)</f>
        <v>841150</v>
      </c>
      <c r="G28" s="112">
        <f t="shared" si="0"/>
        <v>1.0580503144654088</v>
      </c>
    </row>
    <row r="29" spans="2:7" x14ac:dyDescent="0.2">
      <c r="B29" s="449" t="str">
        <f>'ر-فرعي'!B140:E140</f>
        <v>مجموع الباب الثالث: الإيرادات الذاتية الأخرى</v>
      </c>
      <c r="C29" s="450"/>
      <c r="D29" s="143">
        <f>D23+D28</f>
        <v>1738050</v>
      </c>
      <c r="E29" s="143">
        <f t="shared" ref="E29:F29" si="5">E23+E28</f>
        <v>2159680.602</v>
      </c>
      <c r="F29" s="143">
        <f t="shared" si="5"/>
        <v>1501450</v>
      </c>
      <c r="G29" s="112">
        <f t="shared" si="0"/>
        <v>0.86387042950432957</v>
      </c>
    </row>
    <row r="30" spans="2:7" x14ac:dyDescent="0.2">
      <c r="B30" s="214">
        <v>12201000</v>
      </c>
      <c r="C30" s="22" t="str">
        <f>'ر-فرعي'!C143:I143</f>
        <v>التبرعات والمنح والهبات</v>
      </c>
      <c r="D30" s="16">
        <f>IF('ر-فرعي'!F146&gt;0,'ر-فرعي'!F146,"")</f>
        <v>75000</v>
      </c>
      <c r="E30" s="16">
        <f>IF('ر-فرعي'!G146&gt;0,'ر-فرعي'!G146,"")</f>
        <v>30060</v>
      </c>
      <c r="F30" s="137">
        <f>IF('ر-فرعي'!H146&gt;0,'ر-فرعي'!H146,"")</f>
        <v>75000</v>
      </c>
      <c r="G30" s="112">
        <f t="shared" si="0"/>
        <v>1</v>
      </c>
    </row>
    <row r="31" spans="2:7" x14ac:dyDescent="0.2">
      <c r="B31" s="442" t="str">
        <f>'ر-فرعي'!B147:E147</f>
        <v>مجموع الفصل الأول: التبرعات والمنح والهبات</v>
      </c>
      <c r="C31" s="443"/>
      <c r="D31" s="142">
        <f>SUM(D30)</f>
        <v>75000</v>
      </c>
      <c r="E31" s="142">
        <f>SUM(E30)</f>
        <v>30060</v>
      </c>
      <c r="F31" s="142">
        <f>SUM(F30)</f>
        <v>75000</v>
      </c>
      <c r="G31" s="112">
        <f t="shared" si="0"/>
        <v>1</v>
      </c>
    </row>
    <row r="32" spans="2:7" x14ac:dyDescent="0.2">
      <c r="B32" s="449" t="str">
        <f>'ر-فرعي'!B148:E148</f>
        <v>مجموع الباب الرابع: التبرعات والمنح والهبات</v>
      </c>
      <c r="C32" s="450"/>
      <c r="D32" s="143">
        <f>D31</f>
        <v>75000</v>
      </c>
      <c r="E32" s="143">
        <f>E31</f>
        <v>30060</v>
      </c>
      <c r="F32" s="143">
        <f>F31</f>
        <v>75000</v>
      </c>
      <c r="G32" s="112">
        <f t="shared" si="0"/>
        <v>1</v>
      </c>
    </row>
    <row r="33" spans="2:7" x14ac:dyDescent="0.2">
      <c r="B33" s="451" t="s">
        <v>617</v>
      </c>
      <c r="C33" s="452"/>
      <c r="D33" s="195">
        <f>D14+D29+D17+D32</f>
        <v>30380000</v>
      </c>
      <c r="E33" s="195">
        <f>E14+E29+E17+E32</f>
        <v>28570641.376000002</v>
      </c>
      <c r="F33" s="195">
        <f>F14+F29+F17+F32</f>
        <v>30410000</v>
      </c>
      <c r="G33" s="112">
        <f t="shared" si="0"/>
        <v>1.0009874917709018</v>
      </c>
    </row>
    <row r="34" spans="2:7" s="1" customFormat="1" x14ac:dyDescent="0.2">
      <c r="B34" s="416" t="s">
        <v>216</v>
      </c>
      <c r="C34" s="417"/>
      <c r="D34" s="417"/>
      <c r="E34" s="417"/>
      <c r="F34" s="417"/>
      <c r="G34" s="418"/>
    </row>
    <row r="35" spans="2:7" x14ac:dyDescent="0.2">
      <c r="B35" s="220">
        <v>18101000</v>
      </c>
      <c r="C35" s="6" t="str">
        <f>'ر-مواد'!C111</f>
        <v>العجز</v>
      </c>
      <c r="D35" s="16">
        <f>IF('ر-فرعي'!F153&gt;0,'ر-فرعي'!F153,"")</f>
        <v>6000000</v>
      </c>
      <c r="E35" s="16">
        <f>IF('ر-فرعي'!G153&gt;0,'ر-فرعي'!G153,"")</f>
        <v>2084889.5519999973</v>
      </c>
      <c r="F35" s="137">
        <f>IF('ر-فرعي'!H153&gt;0,'ر-فرعي'!H153,"")</f>
        <v>5314000</v>
      </c>
      <c r="G35" s="112">
        <f>IFERROR(F35/D35,"")</f>
        <v>0.88566666666666671</v>
      </c>
    </row>
    <row r="36" spans="2:7" x14ac:dyDescent="0.2">
      <c r="B36" s="444" t="str">
        <f>'ر-فرعي'!B153:E153</f>
        <v>المجموع العام للعجز المقدر بالموازنة</v>
      </c>
      <c r="C36" s="445"/>
      <c r="D36" s="163">
        <f>SUM(D35)</f>
        <v>6000000</v>
      </c>
      <c r="E36" s="163">
        <f t="shared" ref="E36:F36" si="6">SUM(E35)</f>
        <v>2084889.5519999973</v>
      </c>
      <c r="F36" s="163">
        <f t="shared" si="6"/>
        <v>5314000</v>
      </c>
      <c r="G36" s="112">
        <f>IFERROR(F36/D36,"")</f>
        <v>0.88566666666666671</v>
      </c>
    </row>
    <row r="37" spans="2:7" s="46" customFormat="1" x14ac:dyDescent="0.2">
      <c r="B37" s="436" t="s">
        <v>607</v>
      </c>
      <c r="C37" s="437"/>
      <c r="D37" s="270">
        <f>D33+D36</f>
        <v>36380000</v>
      </c>
      <c r="E37" s="270">
        <f t="shared" ref="E37:F37" si="7">E33+E36</f>
        <v>30655530.927999999</v>
      </c>
      <c r="F37" s="270">
        <f t="shared" si="7"/>
        <v>35724000</v>
      </c>
      <c r="G37" s="112">
        <f>IFERROR(F37/D37,"")</f>
        <v>0.98196811434854314</v>
      </c>
    </row>
    <row r="38" spans="2:7" s="46" customFormat="1" x14ac:dyDescent="0.2">
      <c r="B38" s="446"/>
      <c r="C38" s="447"/>
      <c r="D38" s="447"/>
      <c r="E38" s="447"/>
      <c r="F38" s="447"/>
      <c r="G38" s="448"/>
    </row>
    <row r="39" spans="2:7" s="46" customFormat="1" x14ac:dyDescent="0.2">
      <c r="B39" s="430" t="s">
        <v>599</v>
      </c>
      <c r="C39" s="431"/>
      <c r="D39" s="419">
        <v>2019</v>
      </c>
      <c r="E39" s="419"/>
      <c r="F39" s="420">
        <v>2020</v>
      </c>
      <c r="G39" s="421"/>
    </row>
    <row r="40" spans="2:7" s="46" customFormat="1" x14ac:dyDescent="0.2">
      <c r="B40" s="214"/>
      <c r="C40" s="22" t="str">
        <f>'ر-فرعي'!E160</f>
        <v>تسهيلات بنكية/جاري مدين</v>
      </c>
      <c r="D40" s="16">
        <f>IF('ر-فرعي'!F160&gt;0,'ر-فرعي'!F160,"")</f>
        <v>4000000</v>
      </c>
      <c r="E40" s="16">
        <f>IF('ر-فرعي'!G160&gt;0,'ر-فرعي'!G160,"")</f>
        <v>4236841.9970000004</v>
      </c>
      <c r="F40" s="137">
        <f>IF('ر-فرعي'!H160&gt;0,'ر-فرعي'!H160,"")</f>
        <v>7000000</v>
      </c>
      <c r="G40" s="112">
        <f>IFERROR(F40/D40,"")</f>
        <v>1.75</v>
      </c>
    </row>
    <row r="41" spans="2:7" s="46" customFormat="1" x14ac:dyDescent="0.2">
      <c r="B41" s="214"/>
      <c r="C41" s="22" t="str">
        <f>'ر-فرعي'!E161</f>
        <v>قرض  بنك القاهرة عمان/ سلفة البنك المركزي للجامعات الحكومية</v>
      </c>
      <c r="D41" s="16" t="str">
        <f>IF('ر-فرعي'!F161&gt;0,'ر-فرعي'!F161,"")</f>
        <v/>
      </c>
      <c r="E41" s="16" t="str">
        <f>IF('ر-فرعي'!G161&gt;0,'ر-فرعي'!G161,"")</f>
        <v/>
      </c>
      <c r="F41" s="137">
        <f>IF('ر-فرعي'!H161&gt;0,'ر-فرعي'!H161,"")</f>
        <v>2000000</v>
      </c>
      <c r="G41" s="112" t="str">
        <f t="shared" ref="G41:G43" si="8">IFERROR(F41/D41,"")</f>
        <v/>
      </c>
    </row>
    <row r="42" spans="2:7" s="46" customFormat="1" x14ac:dyDescent="0.2">
      <c r="B42" s="214"/>
      <c r="C42" s="22" t="str">
        <f>'ر-فرعي'!E162</f>
        <v>سلفة وزارة المالية</v>
      </c>
      <c r="D42" s="16">
        <f>IF('ر-فرعي'!F162&gt;0,'ر-فرعي'!F162,"")</f>
        <v>500000</v>
      </c>
      <c r="E42" s="16">
        <f>IF('ر-فرعي'!G162&gt;0,'ر-فرعي'!G162,"")</f>
        <v>500000</v>
      </c>
      <c r="F42" s="137" t="str">
        <f>IF('ر-فرعي'!H162&gt;0,'ر-فرعي'!H162,"")</f>
        <v/>
      </c>
      <c r="G42" s="112" t="str">
        <f t="shared" si="8"/>
        <v/>
      </c>
    </row>
    <row r="43" spans="2:7" s="46" customFormat="1" x14ac:dyDescent="0.2">
      <c r="B43" s="291"/>
      <c r="C43" s="22" t="str">
        <f>'ر-فرعي'!E163</f>
        <v>عجز موازنة التمويل</v>
      </c>
      <c r="D43" s="248">
        <f>IF('ر-فرعي'!F163&gt;0,'ر-فرعي'!F163,"")</f>
        <v>11500000</v>
      </c>
      <c r="E43" s="248">
        <f>IF('ر-فرعي'!G163&gt;0,'ر-فرعي'!G163,"")</f>
        <v>9053750.3260000013</v>
      </c>
      <c r="F43" s="137">
        <f>IF('ر-فرعي'!H163&gt;0,'ر-فرعي'!H163,"")</f>
        <v>14090000</v>
      </c>
      <c r="G43" s="112">
        <f t="shared" si="8"/>
        <v>1.2252173913043478</v>
      </c>
    </row>
    <row r="44" spans="2:7" s="46" customFormat="1" x14ac:dyDescent="0.2">
      <c r="B44" s="440" t="str">
        <f>'ر-فرعي'!B165:E165</f>
        <v>المجموع العام لموازنة التمويل</v>
      </c>
      <c r="C44" s="441"/>
      <c r="D44" s="263">
        <f>SUM(D40:D43)</f>
        <v>16000000</v>
      </c>
      <c r="E44" s="263">
        <f t="shared" ref="E44:F44" si="9">SUM(E40:E43)</f>
        <v>13790592.323000003</v>
      </c>
      <c r="F44" s="263">
        <f t="shared" si="9"/>
        <v>23090000</v>
      </c>
      <c r="G44" s="112">
        <f>IFERROR(F44/D44,"")</f>
        <v>1.443125</v>
      </c>
    </row>
    <row r="45" spans="2:7" s="1" customFormat="1" x14ac:dyDescent="0.2">
      <c r="B45" s="446"/>
      <c r="C45" s="447"/>
      <c r="D45" s="447"/>
      <c r="E45" s="447"/>
      <c r="F45" s="447"/>
      <c r="G45" s="448"/>
    </row>
    <row r="46" spans="2:7" x14ac:dyDescent="0.2">
      <c r="B46" s="430" t="s">
        <v>611</v>
      </c>
      <c r="C46" s="431"/>
      <c r="D46" s="419">
        <v>2019</v>
      </c>
      <c r="E46" s="419"/>
      <c r="F46" s="420">
        <v>2020</v>
      </c>
      <c r="G46" s="421"/>
    </row>
    <row r="47" spans="2:7" x14ac:dyDescent="0.2">
      <c r="B47" s="214">
        <v>19301000</v>
      </c>
      <c r="C47" s="22" t="str">
        <f>'ر-فرعي'!C170:I170</f>
        <v>مشاريع مشروطة بالتمويل</v>
      </c>
      <c r="D47" s="16">
        <f>IF('ر-فرعي'!F181&gt;0,'ر-فرعي'!F181,"")</f>
        <v>7800000</v>
      </c>
      <c r="E47" s="16">
        <f>IF('ر-فرعي'!G181&gt;0,'ر-فرعي'!G181,"")</f>
        <v>1605202.264</v>
      </c>
      <c r="F47" s="137">
        <f>IF('ر-فرعي'!H181&gt;0,'ر-فرعي'!H181,"")</f>
        <v>6655000</v>
      </c>
      <c r="G47" s="112">
        <f t="shared" ref="G47:G52" si="10">IFERROR(F47/D47,"")</f>
        <v>0.85320512820512817</v>
      </c>
    </row>
    <row r="48" spans="2:7" x14ac:dyDescent="0.2">
      <c r="B48" s="214">
        <v>19302000</v>
      </c>
      <c r="C48" s="22" t="str">
        <f>'ر-فرعي'!C182:I182</f>
        <v>أجهزة وتجهيزات مشروطة بالتمويل</v>
      </c>
      <c r="D48" s="16">
        <f>IF('ر-فرعي'!F192&gt;0,'ر-فرعي'!F192,"")</f>
        <v>2700000</v>
      </c>
      <c r="E48" s="16">
        <f>IF('ر-فرعي'!G192&gt;0,'ر-فرعي'!G192,"")</f>
        <v>14528.2</v>
      </c>
      <c r="F48" s="137">
        <f>IF('ر-فرعي'!H192&gt;0,'ر-فرعي'!H192,"")</f>
        <v>1845000</v>
      </c>
      <c r="G48" s="112">
        <f t="shared" si="10"/>
        <v>0.68333333333333335</v>
      </c>
    </row>
    <row r="49" spans="2:7" x14ac:dyDescent="0.2">
      <c r="B49" s="438" t="s">
        <v>627</v>
      </c>
      <c r="C49" s="439"/>
      <c r="D49" s="142">
        <f>SUM(D47:D48)</f>
        <v>10500000</v>
      </c>
      <c r="E49" s="142">
        <f>SUM(E47:E48)</f>
        <v>1619730.4639999999</v>
      </c>
      <c r="F49" s="142">
        <f>SUM(F47:F48)</f>
        <v>8500000</v>
      </c>
      <c r="G49" s="112">
        <f t="shared" si="10"/>
        <v>0.80952380952380953</v>
      </c>
    </row>
    <row r="50" spans="2:7" ht="14.25" customHeight="1" x14ac:dyDescent="0.2">
      <c r="B50" s="222"/>
      <c r="C50" s="269" t="s">
        <v>590</v>
      </c>
      <c r="D50" s="16">
        <f>IF('ر-فرعي'!F205&gt;0,'ر-فرعي'!F205,"")</f>
        <v>1120000</v>
      </c>
      <c r="E50" s="16">
        <f>IF('ر-فرعي'!G205&gt;0,'ر-فرعي'!G205,"")</f>
        <v>1503386.7000000002</v>
      </c>
      <c r="F50" s="137">
        <f>IF('ر-فرعي'!H205&gt;0,'ر-فرعي'!H205,"")</f>
        <v>1500000</v>
      </c>
      <c r="G50" s="112">
        <f t="shared" si="10"/>
        <v>1.3392857142857142</v>
      </c>
    </row>
    <row r="51" spans="2:7" s="46" customFormat="1" x14ac:dyDescent="0.2">
      <c r="B51" s="432" t="s">
        <v>626</v>
      </c>
      <c r="C51" s="433"/>
      <c r="D51" s="259">
        <f>SUM(D50)</f>
        <v>1120000</v>
      </c>
      <c r="E51" s="259">
        <f t="shared" ref="E51:F51" si="11">SUM(E50)</f>
        <v>1503386.7000000002</v>
      </c>
      <c r="F51" s="259">
        <f t="shared" si="11"/>
        <v>1500000</v>
      </c>
      <c r="G51" s="112">
        <f t="shared" si="10"/>
        <v>1.3392857142857142</v>
      </c>
    </row>
    <row r="52" spans="2:7" ht="15" thickBot="1" x14ac:dyDescent="0.25">
      <c r="B52" s="434" t="s">
        <v>658</v>
      </c>
      <c r="C52" s="435"/>
      <c r="D52" s="261">
        <f>D49+D51</f>
        <v>11620000</v>
      </c>
      <c r="E52" s="261">
        <f t="shared" ref="E52:F52" si="12">E49+E51</f>
        <v>3123117.1639999999</v>
      </c>
      <c r="F52" s="261">
        <f t="shared" si="12"/>
        <v>10000000</v>
      </c>
      <c r="G52" s="196">
        <f t="shared" si="10"/>
        <v>0.86058519793459554</v>
      </c>
    </row>
    <row r="53" spans="2:7" s="1" customFormat="1" x14ac:dyDescent="0.2">
      <c r="B53" s="215"/>
      <c r="D53" s="131"/>
      <c r="E53" s="131"/>
      <c r="F53" s="131"/>
      <c r="G53" s="131"/>
    </row>
    <row r="54" spans="2:7" x14ac:dyDescent="0.2">
      <c r="D54" s="264">
        <f>D37+D44+D52</f>
        <v>64000000</v>
      </c>
      <c r="E54" s="264">
        <f>E37+E44+E52</f>
        <v>47569240.414999999</v>
      </c>
      <c r="F54" s="264">
        <f>F37+F44+F52</f>
        <v>68814000</v>
      </c>
    </row>
    <row r="55" spans="2:7" x14ac:dyDescent="0.2">
      <c r="D55" s="253">
        <f>'ر-مواد'!D161-'ر-فصل'!D54</f>
        <v>0</v>
      </c>
      <c r="E55" s="253">
        <f>'ر-مواد'!E161-'ر-فصل'!E54</f>
        <v>0</v>
      </c>
      <c r="F55" s="253">
        <f>'ر-مواد'!F161-'ر-فصل'!F54</f>
        <v>0</v>
      </c>
    </row>
  </sheetData>
  <mergeCells count="30">
    <mergeCell ref="F3:G3"/>
    <mergeCell ref="D3:E3"/>
    <mergeCell ref="B2:B3"/>
    <mergeCell ref="C2:C3"/>
    <mergeCell ref="B1:G1"/>
    <mergeCell ref="B13:C13"/>
    <mergeCell ref="B36:C36"/>
    <mergeCell ref="B34:G34"/>
    <mergeCell ref="B45:G45"/>
    <mergeCell ref="B38:G38"/>
    <mergeCell ref="B32:C32"/>
    <mergeCell ref="B31:C31"/>
    <mergeCell ref="B33:C33"/>
    <mergeCell ref="B14:C14"/>
    <mergeCell ref="B17:C17"/>
    <mergeCell ref="B29:C29"/>
    <mergeCell ref="B16:C16"/>
    <mergeCell ref="B28:C28"/>
    <mergeCell ref="B23:C23"/>
    <mergeCell ref="B52:C52"/>
    <mergeCell ref="B37:C37"/>
    <mergeCell ref="B49:C49"/>
    <mergeCell ref="D39:E39"/>
    <mergeCell ref="D46:E46"/>
    <mergeCell ref="B44:C44"/>
    <mergeCell ref="F46:G46"/>
    <mergeCell ref="B46:C46"/>
    <mergeCell ref="B39:C39"/>
    <mergeCell ref="F39:G39"/>
    <mergeCell ref="B51:C51"/>
  </mergeCells>
  <conditionalFormatting sqref="B1:G52">
    <cfRule type="containsBlanks" dxfId="35" priority="2" stopIfTrue="1">
      <formula>LEN(TRIM(B1))=0</formula>
    </cfRule>
  </conditionalFormatting>
  <pageMargins left="0.19685039370078741" right="0" top="0.70866141732283472" bottom="0.15748031496062992" header="0.55118110236220474" footer="0.15748031496062992"/>
  <pageSetup paperSize="9" scale="95" orientation="portrait" r:id="rId1"/>
  <headerFooter>
    <oddFooter xml:space="preserve">&amp;C
&amp;P+3
&amp;R
</oddFooter>
  </headerFooter>
  <ignoredErrors>
    <ignoredError sqref="F30 D30 E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14"/>
  <sheetViews>
    <sheetView rightToLeft="1" zoomScaleNormal="100" workbookViewId="0">
      <pane ySplit="3" topLeftCell="A98" activePane="bottomLeft" state="frozen"/>
      <selection pane="bottomLeft" activeCell="D2" sqref="D1:I1048576"/>
    </sheetView>
  </sheetViews>
  <sheetFormatPr defaultRowHeight="14.25" x14ac:dyDescent="0.2"/>
  <cols>
    <col min="1" max="1" width="1.625" customWidth="1"/>
    <col min="2" max="2" width="9" style="2" bestFit="1" customWidth="1"/>
    <col min="3" max="3" width="53.25" style="2" bestFit="1" customWidth="1"/>
    <col min="4" max="4" width="7.625" style="2" bestFit="1" customWidth="1"/>
    <col min="5" max="5" width="11.625" style="2" bestFit="1" customWidth="1"/>
    <col min="6" max="6" width="7.625" style="2" bestFit="1" customWidth="1"/>
    <col min="7" max="7" width="6.875" style="2" bestFit="1" customWidth="1"/>
    <col min="8" max="8" width="7.625" style="2" bestFit="1" customWidth="1"/>
    <col min="9" max="9" width="4.5" style="208" bestFit="1" customWidth="1"/>
  </cols>
  <sheetData>
    <row r="1" spans="2:9" s="197" customFormat="1" ht="15.75" x14ac:dyDescent="0.2">
      <c r="B1" s="429" t="s">
        <v>671</v>
      </c>
      <c r="C1" s="423"/>
      <c r="D1" s="423"/>
      <c r="E1" s="423"/>
      <c r="F1" s="423"/>
      <c r="G1" s="423"/>
      <c r="H1" s="423"/>
      <c r="I1" s="424"/>
    </row>
    <row r="2" spans="2:9" s="197" customFormat="1" ht="12.75" x14ac:dyDescent="0.2">
      <c r="B2" s="428" t="s">
        <v>428</v>
      </c>
      <c r="C2" s="453" t="s">
        <v>453</v>
      </c>
      <c r="D2" s="302" t="s">
        <v>603</v>
      </c>
      <c r="E2" s="302" t="s">
        <v>604</v>
      </c>
      <c r="F2" s="292" t="s">
        <v>605</v>
      </c>
      <c r="G2" s="302" t="s">
        <v>606</v>
      </c>
      <c r="H2" s="302" t="s">
        <v>603</v>
      </c>
      <c r="I2" s="303" t="s">
        <v>651</v>
      </c>
    </row>
    <row r="3" spans="2:9" s="197" customFormat="1" ht="12.75" x14ac:dyDescent="0.2">
      <c r="B3" s="428"/>
      <c r="C3" s="453"/>
      <c r="D3" s="419">
        <v>2019</v>
      </c>
      <c r="E3" s="419"/>
      <c r="F3" s="419"/>
      <c r="G3" s="419"/>
      <c r="H3" s="420">
        <v>2020</v>
      </c>
      <c r="I3" s="421"/>
    </row>
    <row r="4" spans="2:9" x14ac:dyDescent="0.2">
      <c r="B4" s="31">
        <v>20101000</v>
      </c>
      <c r="C4" s="3" t="str">
        <f>'ن-فرعي'!C6:K6</f>
        <v>رواتب وعلاوات أعضاء هيئة التدريس والمحاضرين المساعدين</v>
      </c>
      <c r="D4" s="16">
        <f>IF('ن-فرعي'!F14&gt;0,'ن-فرعي'!F14,"")</f>
        <v>9815000</v>
      </c>
      <c r="E4" s="16">
        <f>IF('ن-فرعي'!G14&gt;0,'ن-فرعي'!G14,"")</f>
        <v>9958000</v>
      </c>
      <c r="F4" s="16">
        <f>IF('ن-فرعي'!H14&gt;0,'ن-فرعي'!H14,"")</f>
        <v>9230233.6559999995</v>
      </c>
      <c r="G4" s="16" t="str">
        <f>IF('ن-فرعي'!I14&gt;0,'ن-فرعي'!I14,"")</f>
        <v/>
      </c>
      <c r="H4" s="137">
        <f>IF('ن-فرعي'!J14&gt;0,'ن-فرعي'!J14,"")</f>
        <v>10006000</v>
      </c>
      <c r="I4" s="112">
        <f t="shared" ref="I4:I12" si="0">IFERROR(H4/D4,"")</f>
        <v>1.019460010188487</v>
      </c>
    </row>
    <row r="5" spans="2:9" x14ac:dyDescent="0.2">
      <c r="B5" s="31">
        <v>20103000</v>
      </c>
      <c r="C5" s="3" t="str">
        <f>'ن-فرعي'!C15:K15</f>
        <v>رواتب وعلاوات الهيئة الإدارية</v>
      </c>
      <c r="D5" s="16">
        <f>IF('ن-فرعي'!F20&gt;0,'ن-فرعي'!F20,"")</f>
        <v>7100500</v>
      </c>
      <c r="E5" s="16">
        <f>IF('ن-فرعي'!G20&gt;0,'ن-فرعي'!G20,"")</f>
        <v>7124500</v>
      </c>
      <c r="F5" s="16">
        <f>IF('ن-فرعي'!H20&gt;0,'ن-فرعي'!H20,"")</f>
        <v>6900196.8520000009</v>
      </c>
      <c r="G5" s="16" t="str">
        <f>IF('ن-فرعي'!I20&gt;0,'ن-فرعي'!I20,"")</f>
        <v/>
      </c>
      <c r="H5" s="137">
        <f>IF('ن-فرعي'!J20&gt;0,'ن-فرعي'!J20,"")</f>
        <v>7311606</v>
      </c>
      <c r="I5" s="112">
        <f t="shared" si="0"/>
        <v>1.0297311456939653</v>
      </c>
    </row>
    <row r="6" spans="2:9" x14ac:dyDescent="0.2">
      <c r="B6" s="31">
        <v>20116000</v>
      </c>
      <c r="C6" s="3" t="str">
        <f>'ن-فرعي'!C21:K21</f>
        <v>مخصصات حوافز واحتياطي الموازي</v>
      </c>
      <c r="D6" s="16">
        <f>IF('ن-فرعي'!F26&gt;0,'ن-فرعي'!F26,"")</f>
        <v>4386963</v>
      </c>
      <c r="E6" s="16">
        <f>IF('ن-فرعي'!G26&gt;0,'ن-فرعي'!G26,"")</f>
        <v>4386963</v>
      </c>
      <c r="F6" s="16">
        <f>IF('ن-فرعي'!H26&gt;0,'ن-فرعي'!H26,"")</f>
        <v>4386963</v>
      </c>
      <c r="G6" s="16" t="str">
        <f>IF('ن-فرعي'!I26&gt;0,'ن-فرعي'!I26,"")</f>
        <v/>
      </c>
      <c r="H6" s="137">
        <f>IF('ن-فرعي'!J26&gt;0,'ن-فرعي'!J26,"")</f>
        <v>4126169</v>
      </c>
      <c r="I6" s="112">
        <f t="shared" si="0"/>
        <v>0.94055249611177483</v>
      </c>
    </row>
    <row r="7" spans="2:9" x14ac:dyDescent="0.2">
      <c r="B7" s="31">
        <v>20117000</v>
      </c>
      <c r="C7" s="3" t="str">
        <f>'ن-فرعي'!C27:K27</f>
        <v>أجور ومكافآت واستئجار خدمات</v>
      </c>
      <c r="D7" s="16">
        <f>IF('ن-فرعي'!F31&gt;0,'ن-فرعي'!F31,"")</f>
        <v>610000</v>
      </c>
      <c r="E7" s="16">
        <f>IF('ن-فرعي'!G31&gt;0,'ن-فرعي'!G31,"")</f>
        <v>741000</v>
      </c>
      <c r="F7" s="16">
        <f>IF('ن-فرعي'!H31&gt;0,'ن-فرعي'!H31,"")</f>
        <v>668275.92299999995</v>
      </c>
      <c r="G7" s="16">
        <f>IF('ن-فرعي'!I31&gt;0,'ن-فرعي'!I31,"")</f>
        <v>27476.385000000002</v>
      </c>
      <c r="H7" s="137">
        <f>IF('ن-فرعي'!J31&gt;0,'ن-فرعي'!J31,"")</f>
        <v>670000</v>
      </c>
      <c r="I7" s="112">
        <f t="shared" si="0"/>
        <v>1.098360655737705</v>
      </c>
    </row>
    <row r="8" spans="2:9" x14ac:dyDescent="0.2">
      <c r="B8" s="438" t="str">
        <f>'ن-فرعي'!B32:E32</f>
        <v>مجموع الفصل الأول: الرواتب والعلاوات والمكافآت</v>
      </c>
      <c r="C8" s="439"/>
      <c r="D8" s="144">
        <f>SUM(D4:D7)</f>
        <v>21912463</v>
      </c>
      <c r="E8" s="144">
        <f t="shared" ref="E8:H8" si="1">SUM(E4:E7)</f>
        <v>22210463</v>
      </c>
      <c r="F8" s="144">
        <f t="shared" si="1"/>
        <v>21185669.431000002</v>
      </c>
      <c r="G8" s="144">
        <f t="shared" si="1"/>
        <v>27476.385000000002</v>
      </c>
      <c r="H8" s="144">
        <f t="shared" si="1"/>
        <v>22113775</v>
      </c>
      <c r="I8" s="112">
        <f t="shared" si="0"/>
        <v>1.0091871005098787</v>
      </c>
    </row>
    <row r="9" spans="2:9" x14ac:dyDescent="0.2">
      <c r="B9" s="31">
        <v>21101000</v>
      </c>
      <c r="C9" s="3" t="str">
        <f>'ن-فرعي'!C34:K34</f>
        <v>مساهمة الجامعة في صندوق الادخار</v>
      </c>
      <c r="D9" s="16">
        <f>IF('ن-فرعي'!F36&gt;0,'ن-فرعي'!F36,"")</f>
        <v>300000</v>
      </c>
      <c r="E9" s="16">
        <f>IF('ن-فرعي'!G36&gt;0,'ن-فرعي'!G36,"")</f>
        <v>307000</v>
      </c>
      <c r="F9" s="16">
        <f>IF('ن-فرعي'!H36&gt;0,'ن-فرعي'!H36,"")</f>
        <v>306687.57</v>
      </c>
      <c r="G9" s="16" t="str">
        <f>IF('ن-فرعي'!I36&gt;0,'ن-فرعي'!I36,"")</f>
        <v/>
      </c>
      <c r="H9" s="137">
        <f>IF('ن-فرعي'!J36&gt;0,'ن-فرعي'!J36,"")</f>
        <v>320000</v>
      </c>
      <c r="I9" s="112">
        <f t="shared" si="0"/>
        <v>1.0666666666666667</v>
      </c>
    </row>
    <row r="10" spans="2:9" x14ac:dyDescent="0.2">
      <c r="B10" s="31">
        <v>21102000</v>
      </c>
      <c r="C10" s="3" t="str">
        <f>'ن-فرعي'!C37:K37</f>
        <v>مساهمة الجامعة في الضمان الاجتماعي</v>
      </c>
      <c r="D10" s="16">
        <f>IF('ن-فرعي'!F39&gt;0,'ن-فرعي'!F39,"")</f>
        <v>1800000</v>
      </c>
      <c r="E10" s="16">
        <f>IF('ن-فرعي'!G39&gt;0,'ن-فرعي'!G39,"")</f>
        <v>1810000</v>
      </c>
      <c r="F10" s="16">
        <f>IF('ن-فرعي'!H39&gt;0,'ن-فرعي'!H39,"")</f>
        <v>1809832.409</v>
      </c>
      <c r="G10" s="16" t="str">
        <f>IF('ن-فرعي'!I39&gt;0,'ن-فرعي'!I39,"")</f>
        <v/>
      </c>
      <c r="H10" s="137">
        <f>IF('ن-فرعي'!J39&gt;0,'ن-فرعي'!J39,"")</f>
        <v>1900000</v>
      </c>
      <c r="I10" s="112">
        <f t="shared" si="0"/>
        <v>1.0555555555555556</v>
      </c>
    </row>
    <row r="11" spans="2:9" x14ac:dyDescent="0.2">
      <c r="B11" s="31">
        <v>21103000</v>
      </c>
      <c r="C11" s="3" t="str">
        <f>'ن-فرعي'!C40:K40</f>
        <v>مساهمة الجامعة في التامين الصحي للعاملين</v>
      </c>
      <c r="D11" s="16">
        <f>IF('ن-فرعي'!F42&gt;0,'ن-فرعي'!F42,"")</f>
        <v>900000</v>
      </c>
      <c r="E11" s="16">
        <f>IF('ن-فرعي'!G42&gt;0,'ن-فرعي'!G42,"")</f>
        <v>1250000</v>
      </c>
      <c r="F11" s="16">
        <f>IF('ن-فرعي'!H42&gt;0,'ن-فرعي'!H42,"")</f>
        <v>1237449.4110000001</v>
      </c>
      <c r="G11" s="16" t="str">
        <f>IF('ن-فرعي'!I42&gt;0,'ن-فرعي'!I42,"")</f>
        <v/>
      </c>
      <c r="H11" s="137">
        <f>IF('ن-فرعي'!J42&gt;0,'ن-فرعي'!J42,"")</f>
        <v>1200000</v>
      </c>
      <c r="I11" s="112">
        <f t="shared" si="0"/>
        <v>1.3333333333333333</v>
      </c>
    </row>
    <row r="12" spans="2:9" x14ac:dyDescent="0.2">
      <c r="B12" s="31">
        <v>21104000</v>
      </c>
      <c r="C12" s="3" t="str">
        <f>'ن-فرعي'!C43:K43</f>
        <v>مساهمة الجامعة في التامين على حياة العاملين</v>
      </c>
      <c r="D12" s="16">
        <f>IF('ن-فرعي'!F45&gt;0,'ن-فرعي'!F45,"")</f>
        <v>30000</v>
      </c>
      <c r="E12" s="16">
        <f>IF('ن-فرعي'!G45&gt;0,'ن-فرعي'!G45,"")</f>
        <v>30000</v>
      </c>
      <c r="F12" s="16" t="str">
        <f>IF('ن-فرعي'!H45&gt;0,'ن-فرعي'!H45,"")</f>
        <v/>
      </c>
      <c r="G12" s="16">
        <f>IF('ن-فرعي'!I45&gt;0,'ن-فرعي'!I45,"")</f>
        <v>30000</v>
      </c>
      <c r="H12" s="137">
        <f>IF('ن-فرعي'!J45&gt;0,'ن-فرعي'!J45,"")</f>
        <v>30000</v>
      </c>
      <c r="I12" s="112">
        <f t="shared" si="0"/>
        <v>1</v>
      </c>
    </row>
    <row r="13" spans="2:9" x14ac:dyDescent="0.2">
      <c r="B13" s="31">
        <v>21105000</v>
      </c>
      <c r="C13" s="3" t="str">
        <f>'ن-فرعي'!C46:K46</f>
        <v>مساهمة الجامعة في مكافأة نهاية الخدمة للعاملين</v>
      </c>
      <c r="D13" s="16">
        <f>IF('ن-فرعي'!F48&gt;0,'ن-فرعي'!F48,"")</f>
        <v>1500000</v>
      </c>
      <c r="E13" s="16">
        <f>IF('ن-فرعي'!G48&gt;0,'ن-فرعي'!G48,"")</f>
        <v>1522000</v>
      </c>
      <c r="F13" s="16">
        <f>IF('ن-فرعي'!H48&gt;0,'ن-فرعي'!H48,"")</f>
        <v>1521497.9469999999</v>
      </c>
      <c r="G13" s="16" t="str">
        <f>IF('ن-فرعي'!I48&gt;0,'ن-فرعي'!I48,"")</f>
        <v/>
      </c>
      <c r="H13" s="137">
        <f>IF('ن-فرعي'!J48&gt;0,'ن-فرعي'!J48,"")</f>
        <v>1000000</v>
      </c>
      <c r="I13" s="112">
        <f>IF('ن-فرعي'!K48&gt;0,'ن-فرعي'!K48,"")</f>
        <v>0.66666666666666663</v>
      </c>
    </row>
    <row r="14" spans="2:9" x14ac:dyDescent="0.2">
      <c r="B14" s="438" t="str">
        <f>'ن-فرعي'!B49:E49</f>
        <v>مجموع الفصل الثاني: التعويضات والتأمينات للعاملين</v>
      </c>
      <c r="C14" s="439"/>
      <c r="D14" s="144">
        <f>SUM(D9:D13)</f>
        <v>4530000</v>
      </c>
      <c r="E14" s="144">
        <f t="shared" ref="E14:I14" si="2">SUM(E9:E13)</f>
        <v>4919000</v>
      </c>
      <c r="F14" s="144">
        <f t="shared" si="2"/>
        <v>4875467.3369999994</v>
      </c>
      <c r="G14" s="144">
        <f t="shared" si="2"/>
        <v>30000</v>
      </c>
      <c r="H14" s="144">
        <f t="shared" si="2"/>
        <v>4450000</v>
      </c>
      <c r="I14" s="209">
        <f t="shared" si="2"/>
        <v>5.1222222222222227</v>
      </c>
    </row>
    <row r="15" spans="2:9" x14ac:dyDescent="0.2">
      <c r="B15" s="31">
        <v>21603000</v>
      </c>
      <c r="C15" s="3" t="str">
        <f>'ن-فرعي'!C51:K51</f>
        <v>صيانة المختبرات العلمية وديمومة الأجهزة والبنية الحاسوبية</v>
      </c>
      <c r="D15" s="16">
        <f>IF('ن-فرعي'!F55&gt;0,'ن-فرعي'!F55,"")</f>
        <v>165000</v>
      </c>
      <c r="E15" s="16">
        <f>IF('ن-فرعي'!G55&gt;0,'ن-فرعي'!G55,"")</f>
        <v>165000</v>
      </c>
      <c r="F15" s="16">
        <f>IF('ن-فرعي'!H55&gt;0,'ن-فرعي'!H55,"")</f>
        <v>6540.5</v>
      </c>
      <c r="G15" s="16">
        <f>IF('ن-فرعي'!I55&gt;0,'ن-فرعي'!I55,"")</f>
        <v>123653.5</v>
      </c>
      <c r="H15" s="137">
        <f>IF('ن-فرعي'!J55&gt;0,'ن-فرعي'!J55,"")</f>
        <v>195000</v>
      </c>
      <c r="I15" s="112">
        <f t="shared" ref="I15:I46" si="3">IFERROR(H15/D15,"")</f>
        <v>1.1818181818181819</v>
      </c>
    </row>
    <row r="16" spans="2:9" x14ac:dyDescent="0.2">
      <c r="B16" s="31">
        <v>21604000</v>
      </c>
      <c r="C16" s="3" t="str">
        <f>'ن-فرعي'!C56:K56</f>
        <v>مواد ولوازم الصيانة العامة</v>
      </c>
      <c r="D16" s="16">
        <f>IF('ن-فرعي'!F62&gt;0,'ن-فرعي'!F62,"")</f>
        <v>116500</v>
      </c>
      <c r="E16" s="16">
        <f>IF('ن-فرعي'!G62&gt;0,'ن-فرعي'!G62,"")</f>
        <v>81500</v>
      </c>
      <c r="F16" s="16">
        <f>IF('ن-فرعي'!H62&gt;0,'ن-فرعي'!H62,"")</f>
        <v>31636.851000000002</v>
      </c>
      <c r="G16" s="16">
        <f>IF('ن-فرعي'!I62&gt;0,'ن-فرعي'!I62,"")</f>
        <v>24982.124999999996</v>
      </c>
      <c r="H16" s="137">
        <f>IF('ن-فرعي'!J62&gt;0,'ن-فرعي'!J62,"")</f>
        <v>216500</v>
      </c>
      <c r="I16" s="112">
        <f t="shared" si="3"/>
        <v>1.8583690987124464</v>
      </c>
    </row>
    <row r="17" spans="2:9" x14ac:dyDescent="0.2">
      <c r="B17" s="31">
        <v>21605000</v>
      </c>
      <c r="C17" s="3" t="str">
        <f>'ن-فرعي'!C63:K63</f>
        <v>مواد ولوازم النظافة العامة والوقاية الصحية</v>
      </c>
      <c r="D17" s="16">
        <f>IF('ن-فرعي'!F65&gt;0,'ن-فرعي'!F65,"")</f>
        <v>50000</v>
      </c>
      <c r="E17" s="16">
        <f>IF('ن-فرعي'!G65&gt;0,'ن-فرعي'!G65,"")</f>
        <v>50000</v>
      </c>
      <c r="F17" s="16">
        <f>IF('ن-فرعي'!H65&gt;0,'ن-فرعي'!H65,"")</f>
        <v>9726.81</v>
      </c>
      <c r="G17" s="16">
        <f>IF('ن-فرعي'!I65&gt;0,'ن-فرعي'!I65,"")</f>
        <v>7326.49</v>
      </c>
      <c r="H17" s="137">
        <f>IF('ن-فرعي'!J65&gt;0,'ن-فرعي'!J65,"")</f>
        <v>50000</v>
      </c>
      <c r="I17" s="112">
        <f t="shared" si="3"/>
        <v>1</v>
      </c>
    </row>
    <row r="18" spans="2:9" x14ac:dyDescent="0.2">
      <c r="B18" s="31">
        <v>21606000</v>
      </c>
      <c r="C18" s="3" t="str">
        <f>'ن-فرعي'!C66:K66</f>
        <v xml:space="preserve">ملابس المستخدمين </v>
      </c>
      <c r="D18" s="16">
        <f>IF('ن-فرعي'!F70&gt;0,'ن-فرعي'!F70,"")</f>
        <v>45500</v>
      </c>
      <c r="E18" s="16">
        <f>IF('ن-فرعي'!G70&gt;0,'ن-فرعي'!G70,"")</f>
        <v>45500</v>
      </c>
      <c r="F18" s="16">
        <f>IF('ن-فرعي'!H70&gt;0,'ن-فرعي'!H70,"")</f>
        <v>1800</v>
      </c>
      <c r="G18" s="16">
        <f>IF('ن-فرعي'!I70&gt;0,'ن-فرعي'!I70,"")</f>
        <v>1500</v>
      </c>
      <c r="H18" s="137">
        <f>IF('ن-فرعي'!J70&gt;0,'ن-فرعي'!J70,"")</f>
        <v>37500</v>
      </c>
      <c r="I18" s="112">
        <f t="shared" si="3"/>
        <v>0.82417582417582413</v>
      </c>
    </row>
    <row r="19" spans="2:9" x14ac:dyDescent="0.2">
      <c r="B19" s="31">
        <v>21607000</v>
      </c>
      <c r="C19" s="3" t="str">
        <f>'ن-فرعي'!C71:K71</f>
        <v>قرطاسية وأحبار ولوازم مكتبية</v>
      </c>
      <c r="D19" s="16">
        <f>IF('ن-فرعي'!F75&gt;0,'ن-فرعي'!F75,"")</f>
        <v>85000</v>
      </c>
      <c r="E19" s="16">
        <f>IF('ن-فرعي'!G75&gt;0,'ن-فرعي'!G75,"")</f>
        <v>85000</v>
      </c>
      <c r="F19" s="16">
        <f>IF('ن-فرعي'!H75&gt;0,'ن-فرعي'!H75,"")</f>
        <v>29638.824000000001</v>
      </c>
      <c r="G19" s="16">
        <f>IF('ن-فرعي'!I75&gt;0,'ن-فرعي'!I75,"")</f>
        <v>44882.692999999999</v>
      </c>
      <c r="H19" s="137">
        <f>IF('ن-فرعي'!J75&gt;0,'ن-فرعي'!J75,"")</f>
        <v>92000</v>
      </c>
      <c r="I19" s="112">
        <f t="shared" si="3"/>
        <v>1.0823529411764705</v>
      </c>
    </row>
    <row r="20" spans="2:9" x14ac:dyDescent="0.2">
      <c r="B20" s="31">
        <v>21609000</v>
      </c>
      <c r="C20" s="3" t="str">
        <f>'ن-فرعي'!C77:K77</f>
        <v>مواد ولوازم زراعية وتجميل الحرم الجامعي وصيانة شبكات وقطع غيار زراعية</v>
      </c>
      <c r="D20" s="16">
        <f>IF('ن-فرعي'!F80&gt;0,'ن-فرعي'!F80,"")</f>
        <v>20000</v>
      </c>
      <c r="E20" s="16">
        <f>IF('ن-فرعي'!G80&gt;0,'ن-فرعي'!G80,"")</f>
        <v>55000</v>
      </c>
      <c r="F20" s="16">
        <f>IF('ن-فرعي'!H80&gt;0,'ن-فرعي'!H80,"")</f>
        <v>23808.9</v>
      </c>
      <c r="G20" s="16">
        <f>IF('ن-فرعي'!I80&gt;0,'ن-فرعي'!I80,"")</f>
        <v>16376.075000000001</v>
      </c>
      <c r="H20" s="137">
        <f>IF('ن-فرعي'!J80&gt;0,'ن-فرعي'!J80,"")</f>
        <v>40000</v>
      </c>
      <c r="I20" s="112">
        <f t="shared" si="3"/>
        <v>2</v>
      </c>
    </row>
    <row r="21" spans="2:9" x14ac:dyDescent="0.2">
      <c r="B21" s="31">
        <v>21610000</v>
      </c>
      <c r="C21" s="3" t="str">
        <f>'ن-فرعي'!C81:K81</f>
        <v>لوازم عامة</v>
      </c>
      <c r="D21" s="16">
        <f>IF('ن-فرعي'!F83&gt;0,'ن-فرعي'!F83,"")</f>
        <v>4000</v>
      </c>
      <c r="E21" s="16">
        <f>IF('ن-فرعي'!G83&gt;0,'ن-فرعي'!G83,"")</f>
        <v>4000</v>
      </c>
      <c r="F21" s="16" t="str">
        <f>IF('ن-فرعي'!H83&gt;0,'ن-فرعي'!H83,"")</f>
        <v/>
      </c>
      <c r="G21" s="16" t="str">
        <f>IF('ن-فرعي'!I83&gt;0,'ن-فرعي'!I83,"")</f>
        <v/>
      </c>
      <c r="H21" s="137">
        <f>IF('ن-فرعي'!J83&gt;0,'ن-فرعي'!J83,"")</f>
        <v>4000</v>
      </c>
      <c r="I21" s="112">
        <f t="shared" si="3"/>
        <v>1</v>
      </c>
    </row>
    <row r="22" spans="2:9" x14ac:dyDescent="0.2">
      <c r="B22" s="438" t="str">
        <f>'ن-فرعي'!B84:E84</f>
        <v>مجموع الفصل الثالث: اللوازم والمهمات والصيانة</v>
      </c>
      <c r="C22" s="439"/>
      <c r="D22" s="144">
        <f>SUM(D15:D21)</f>
        <v>486000</v>
      </c>
      <c r="E22" s="144">
        <f t="shared" ref="E22:H22" si="4">SUM(E15:E21)</f>
        <v>486000</v>
      </c>
      <c r="F22" s="144">
        <f t="shared" si="4"/>
        <v>103151.88500000001</v>
      </c>
      <c r="G22" s="144">
        <f t="shared" si="4"/>
        <v>218720.883</v>
      </c>
      <c r="H22" s="144">
        <f t="shared" si="4"/>
        <v>635000</v>
      </c>
      <c r="I22" s="112">
        <f t="shared" si="3"/>
        <v>1.3065843621399178</v>
      </c>
    </row>
    <row r="23" spans="2:9" x14ac:dyDescent="0.2">
      <c r="B23" s="31">
        <v>22601000</v>
      </c>
      <c r="C23" s="3" t="str">
        <f>'ن-فرعي'!C86:K86</f>
        <v>النشاطات الطلابية المختلفة ومستلزمات عمادة شؤون الطلبة</v>
      </c>
      <c r="D23" s="16">
        <f>IF('ن-فرعي'!F92&gt;0,'ن-فرعي'!F92,"")</f>
        <v>66000</v>
      </c>
      <c r="E23" s="16">
        <f>IF('ن-فرعي'!G92&gt;0,'ن-فرعي'!G92,"")</f>
        <v>65800</v>
      </c>
      <c r="F23" s="16">
        <f>IF('ن-فرعي'!H92&gt;0,'ن-فرعي'!H92,"")</f>
        <v>15893.367</v>
      </c>
      <c r="G23" s="16">
        <f>IF('ن-فرعي'!I92&gt;0,'ن-فرعي'!I92,"")</f>
        <v>1969.789</v>
      </c>
      <c r="H23" s="137">
        <f>IF('ن-فرعي'!J92&gt;0,'ن-فرعي'!J92,"")</f>
        <v>69000</v>
      </c>
      <c r="I23" s="112">
        <f t="shared" si="3"/>
        <v>1.0454545454545454</v>
      </c>
    </row>
    <row r="24" spans="2:9" x14ac:dyDescent="0.2">
      <c r="B24" s="31">
        <v>22602000</v>
      </c>
      <c r="C24" s="3" t="str">
        <f>'ن-فرعي'!C93:K93</f>
        <v>دعم صناديق الطلبة</v>
      </c>
      <c r="D24" s="16">
        <f>IF('ن-فرعي'!F95&gt;0,'ن-فرعي'!F95,"")</f>
        <v>30000</v>
      </c>
      <c r="E24" s="16">
        <f>IF('ن-فرعي'!G95&gt;0,'ن-فرعي'!G95,"")</f>
        <v>30000</v>
      </c>
      <c r="F24" s="16">
        <f>IF('ن-فرعي'!H95&gt;0,'ن-فرعي'!H95,"")</f>
        <v>30000</v>
      </c>
      <c r="G24" s="16" t="str">
        <f>IF('ن-فرعي'!I95&gt;0,'ن-فرعي'!I95,"")</f>
        <v/>
      </c>
      <c r="H24" s="137">
        <f>IF('ن-فرعي'!J95&gt;0,'ن-فرعي'!J95,"")</f>
        <v>100000</v>
      </c>
      <c r="I24" s="112">
        <f t="shared" si="3"/>
        <v>3.3333333333333335</v>
      </c>
    </row>
    <row r="25" spans="2:9" x14ac:dyDescent="0.2">
      <c r="B25" s="31">
        <v>22603000</v>
      </c>
      <c r="C25" s="3" t="str">
        <f>'ن-فرعي'!C96:K96</f>
        <v>التأمين الصحي للطلبة</v>
      </c>
      <c r="D25" s="16">
        <f>IF('ن-فرعي'!F98&gt;0,'ن-فرعي'!F98,"")</f>
        <v>70000</v>
      </c>
      <c r="E25" s="16">
        <f>IF('ن-فرعي'!G98&gt;0,'ن-فرعي'!G98,"")</f>
        <v>115000</v>
      </c>
      <c r="F25" s="16">
        <f>IF('ن-فرعي'!H98&gt;0,'ن-فرعي'!H98,"")</f>
        <v>111649.55</v>
      </c>
      <c r="G25" s="16" t="str">
        <f>IF('ن-فرعي'!I98&gt;0,'ن-فرعي'!I98,"")</f>
        <v/>
      </c>
      <c r="H25" s="137">
        <f>IF('ن-فرعي'!J98&gt;0,'ن-فرعي'!J98,"")</f>
        <v>120000</v>
      </c>
      <c r="I25" s="112">
        <f t="shared" si="3"/>
        <v>1.7142857142857142</v>
      </c>
    </row>
    <row r="26" spans="2:9" x14ac:dyDescent="0.2">
      <c r="B26" s="31">
        <v>22604000</v>
      </c>
      <c r="C26" s="3" t="str">
        <f>'ن-فرعي'!C99:K99</f>
        <v>التأمين على حياة الطلبة</v>
      </c>
      <c r="D26" s="16">
        <f>IF('ن-فرعي'!F101&gt;0,'ن-فرعي'!F101,"")</f>
        <v>25000</v>
      </c>
      <c r="E26" s="16">
        <f>IF('ن-فرعي'!G101&gt;0,'ن-فرعي'!G101,"")</f>
        <v>25000</v>
      </c>
      <c r="F26" s="16" t="str">
        <f>IF('ن-فرعي'!H101&gt;0,'ن-فرعي'!H101,"")</f>
        <v/>
      </c>
      <c r="G26" s="16" t="str">
        <f>IF('ن-فرعي'!I101&gt;0,'ن-فرعي'!I101,"")</f>
        <v/>
      </c>
      <c r="H26" s="137">
        <f>IF('ن-فرعي'!J101&gt;0,'ن-فرعي'!J101,"")</f>
        <v>25000</v>
      </c>
      <c r="I26" s="112">
        <f t="shared" si="3"/>
        <v>1</v>
      </c>
    </row>
    <row r="27" spans="2:9" x14ac:dyDescent="0.2">
      <c r="B27" s="31">
        <v>22605000</v>
      </c>
      <c r="C27" s="3" t="str">
        <f>'ن-فرعي'!C102:K102</f>
        <v>المطبوعات والنشرات الطلابية</v>
      </c>
      <c r="D27" s="16">
        <f>IF('ن-فرعي'!F105&gt;0,'ن-فرعي'!F105,"")</f>
        <v>20000</v>
      </c>
      <c r="E27" s="16">
        <f>IF('ن-فرعي'!G105&gt;0,'ن-فرعي'!G105,"")</f>
        <v>20000</v>
      </c>
      <c r="F27" s="16" t="str">
        <f>IF('ن-فرعي'!H105&gt;0,'ن-فرعي'!H105,"")</f>
        <v/>
      </c>
      <c r="G27" s="16">
        <f>IF('ن-فرعي'!I105&gt;0,'ن-فرعي'!I105,"")</f>
        <v>10500</v>
      </c>
      <c r="H27" s="137">
        <f>IF('ن-فرعي'!J105&gt;0,'ن-فرعي'!J105,"")</f>
        <v>20000</v>
      </c>
      <c r="I27" s="112">
        <f t="shared" si="3"/>
        <v>1</v>
      </c>
    </row>
    <row r="28" spans="2:9" x14ac:dyDescent="0.2">
      <c r="B28" s="31">
        <v>22607000</v>
      </c>
      <c r="C28" s="3" t="str">
        <f>'ن-فرعي'!C113:K113</f>
        <v>مساهمة الجامعة في موازنة مجلس الطلبة</v>
      </c>
      <c r="D28" s="16">
        <f>IF('ن-فرعي'!F115&gt;0,'ن-فرعي'!F115,"")</f>
        <v>2000</v>
      </c>
      <c r="E28" s="16">
        <f>IF('ن-فرعي'!G115&gt;0,'ن-فرعي'!G115,"")</f>
        <v>2000</v>
      </c>
      <c r="F28" s="16" t="str">
        <f>IF('ن-فرعي'!H115&gt;0,'ن-فرعي'!H115,"")</f>
        <v/>
      </c>
      <c r="G28" s="16" t="str">
        <f>IF('ن-فرعي'!I115&gt;0,'ن-فرعي'!I115,"")</f>
        <v/>
      </c>
      <c r="H28" s="137">
        <f>IF('ن-فرعي'!J115&gt;0,'ن-فرعي'!J115,"")</f>
        <v>2000</v>
      </c>
      <c r="I28" s="112">
        <f t="shared" si="3"/>
        <v>1</v>
      </c>
    </row>
    <row r="29" spans="2:9" x14ac:dyDescent="0.2">
      <c r="B29" s="31">
        <v>22608000</v>
      </c>
      <c r="C29" s="3" t="str">
        <f>'ن-فرعي'!C116:K116</f>
        <v>بدلات الاعتماد العام والخاص</v>
      </c>
      <c r="D29" s="16">
        <f>IF('ن-فرعي'!F118&gt;0,'ن-فرعي'!F118,"")</f>
        <v>90000</v>
      </c>
      <c r="E29" s="16">
        <f>IF('ن-فرعي'!G118&gt;0,'ن-فرعي'!G118,"")</f>
        <v>45000</v>
      </c>
      <c r="F29" s="16">
        <f>IF('ن-فرعي'!H118&gt;0,'ن-فرعي'!H118,"")</f>
        <v>11700</v>
      </c>
      <c r="G29" s="16" t="str">
        <f>IF('ن-فرعي'!I118&gt;0,'ن-فرعي'!I118,"")</f>
        <v/>
      </c>
      <c r="H29" s="137">
        <f>IF('ن-فرعي'!J118&gt;0,'ن-فرعي'!J118,"")</f>
        <v>90000</v>
      </c>
      <c r="I29" s="112">
        <f t="shared" si="3"/>
        <v>1</v>
      </c>
    </row>
    <row r="30" spans="2:9" x14ac:dyDescent="0.2">
      <c r="B30" s="31">
        <v>22609000</v>
      </c>
      <c r="C30" s="3" t="str">
        <f>'ن-فرعي'!C119:K119</f>
        <v>مساهمة الجامعة في تطوير مكتب الإرشاد الوظيفي ومتابعة الخريجين</v>
      </c>
      <c r="D30" s="16">
        <f>IF('ن-فرعي'!F121&gt;0,'ن-فرعي'!F121,"")</f>
        <v>5000</v>
      </c>
      <c r="E30" s="16">
        <f>IF('ن-فرعي'!G121&gt;0,'ن-فرعي'!G121,"")</f>
        <v>5000</v>
      </c>
      <c r="F30" s="16" t="str">
        <f>IF('ن-فرعي'!H121&gt;0,'ن-فرعي'!H121,"")</f>
        <v/>
      </c>
      <c r="G30" s="16" t="str">
        <f>IF('ن-فرعي'!I121&gt;0,'ن-فرعي'!I121,"")</f>
        <v/>
      </c>
      <c r="H30" s="137">
        <f>IF('ن-فرعي'!J121&gt;0,'ن-فرعي'!J121,"")</f>
        <v>5000</v>
      </c>
      <c r="I30" s="112">
        <f t="shared" si="3"/>
        <v>1</v>
      </c>
    </row>
    <row r="31" spans="2:9" x14ac:dyDescent="0.2">
      <c r="B31" s="438" t="str">
        <f>'ن-فرعي'!B122:E122</f>
        <v>مجموع الفصل الرابع: دعم الصناديق والخدمات والنشاطات الطلابية</v>
      </c>
      <c r="C31" s="439"/>
      <c r="D31" s="144">
        <f t="shared" ref="D31:H31" si="5">SUM(D23:D30)</f>
        <v>308000</v>
      </c>
      <c r="E31" s="144">
        <f t="shared" si="5"/>
        <v>307800</v>
      </c>
      <c r="F31" s="144">
        <f t="shared" si="5"/>
        <v>169242.91700000002</v>
      </c>
      <c r="G31" s="144">
        <f t="shared" si="5"/>
        <v>12469.789000000001</v>
      </c>
      <c r="H31" s="144">
        <f t="shared" si="5"/>
        <v>431000</v>
      </c>
      <c r="I31" s="112">
        <f t="shared" si="3"/>
        <v>1.3993506493506493</v>
      </c>
    </row>
    <row r="32" spans="2:9" x14ac:dyDescent="0.2">
      <c r="B32" s="31">
        <v>23601000</v>
      </c>
      <c r="C32" s="3" t="str">
        <f>'ن-فرعي'!C124:K124</f>
        <v>النفقات الاستهلاكية المشتركة</v>
      </c>
      <c r="D32" s="16">
        <f>IF('ن-فرعي'!F132&gt;0,'ن-فرعي'!F132,"")</f>
        <v>1005000</v>
      </c>
      <c r="E32" s="16">
        <f>IF('ن-فرعي'!G132&gt;0,'ن-فرعي'!G132,"")</f>
        <v>905000</v>
      </c>
      <c r="F32" s="16">
        <f>IF('ن-فرعي'!H132&gt;0,'ن-فرعي'!H132,"")</f>
        <v>547770.28399999999</v>
      </c>
      <c r="G32" s="16">
        <f>IF('ن-فرعي'!I132&gt;0,'ن-فرعي'!I132,"")</f>
        <v>191801.962</v>
      </c>
      <c r="H32" s="137">
        <f>IF('ن-فرعي'!J132&gt;0,'ن-فرعي'!J132,"")</f>
        <v>900000</v>
      </c>
      <c r="I32" s="112">
        <f t="shared" si="3"/>
        <v>0.89552238805970152</v>
      </c>
    </row>
    <row r="33" spans="2:9" x14ac:dyDescent="0.2">
      <c r="B33" s="31">
        <v>23602000</v>
      </c>
      <c r="C33" s="3" t="str">
        <f>'ن-فرعي'!C133:K133</f>
        <v>تأمين موجودات الجامعة المنقولة وغير المنقولة</v>
      </c>
      <c r="D33" s="16">
        <f>IF('ن-فرعي'!F137&gt;0,'ن-فرعي'!F137,"")</f>
        <v>52500</v>
      </c>
      <c r="E33" s="16">
        <f>IF('ن-فرعي'!G137&gt;0,'ن-فرعي'!G137,"")</f>
        <v>67500</v>
      </c>
      <c r="F33" s="16">
        <f>IF('ن-فرعي'!H137&gt;0,'ن-فرعي'!H137,"")</f>
        <v>15890.88</v>
      </c>
      <c r="G33" s="16">
        <f>IF('ن-فرعي'!I137&gt;0,'ن-فرعي'!I137,"")</f>
        <v>1.66</v>
      </c>
      <c r="H33" s="137">
        <f>IF('ن-فرعي'!J137&gt;0,'ن-فرعي'!J137,"")</f>
        <v>56000</v>
      </c>
      <c r="I33" s="112">
        <f t="shared" si="3"/>
        <v>1.0666666666666667</v>
      </c>
    </row>
    <row r="34" spans="2:9" x14ac:dyDescent="0.2">
      <c r="B34" s="31">
        <v>23603000</v>
      </c>
      <c r="C34" s="3" t="str">
        <f>'ن-فرعي'!C138:K138</f>
        <v>نفقات الوفود الرسمية والضيافة</v>
      </c>
      <c r="D34" s="16">
        <f>IF('ن-فرعي'!F142&gt;0,'ن-فرعي'!F142,"")</f>
        <v>19800</v>
      </c>
      <c r="E34" s="16">
        <f>IF('ن-فرعي'!G142&gt;0,'ن-فرعي'!G142,"")</f>
        <v>20000</v>
      </c>
      <c r="F34" s="16">
        <f>IF('ن-فرعي'!H142&gt;0,'ن-فرعي'!H142,"")</f>
        <v>14193.877999999999</v>
      </c>
      <c r="G34" s="16">
        <f>IF('ن-فرعي'!I142&gt;0,'ن-فرعي'!I142,"")</f>
        <v>1400.15</v>
      </c>
      <c r="H34" s="137">
        <f>IF('ن-فرعي'!J142&gt;0,'ن-فرعي'!J142,"")</f>
        <v>19725</v>
      </c>
      <c r="I34" s="112">
        <f t="shared" si="3"/>
        <v>0.99621212121212122</v>
      </c>
    </row>
    <row r="35" spans="2:9" x14ac:dyDescent="0.2">
      <c r="B35" s="31">
        <v>23604000</v>
      </c>
      <c r="C35" s="3" t="str">
        <f>'ن-فرعي'!C143:K143</f>
        <v>نفقات الآليات والمركبات</v>
      </c>
      <c r="D35" s="16">
        <f>IF('ن-فرعي'!F147&gt;0,'ن-فرعي'!F147,"")</f>
        <v>77000</v>
      </c>
      <c r="E35" s="16">
        <f>IF('ن-فرعي'!G147&gt;0,'ن-فرعي'!G147,"")</f>
        <v>77000</v>
      </c>
      <c r="F35" s="16">
        <f>IF('ن-فرعي'!H147&gt;0,'ن-فرعي'!H147,"")</f>
        <v>26221.45</v>
      </c>
      <c r="G35" s="16">
        <f>IF('ن-فرعي'!I147&gt;0,'ن-فرعي'!I147,"")</f>
        <v>33935</v>
      </c>
      <c r="H35" s="137">
        <f>IF('ن-فرعي'!J147&gt;0,'ن-فرعي'!J147,"")</f>
        <v>122000</v>
      </c>
      <c r="I35" s="112">
        <f t="shared" si="3"/>
        <v>1.5844155844155845</v>
      </c>
    </row>
    <row r="36" spans="2:9" x14ac:dyDescent="0.2">
      <c r="B36" s="31">
        <v>23605000</v>
      </c>
      <c r="C36" s="3" t="str">
        <f>'ن-فرعي'!C148:K148</f>
        <v>اعلانات ومطبوعات والنشرات</v>
      </c>
      <c r="D36" s="16">
        <f>IF('ن-فرعي'!F151&gt;0,'ن-فرعي'!F151,"")</f>
        <v>14000</v>
      </c>
      <c r="E36" s="16">
        <f>IF('ن-فرعي'!G151&gt;0,'ن-فرعي'!G151,"")</f>
        <v>14000</v>
      </c>
      <c r="F36" s="16">
        <f>IF('ن-فرعي'!H151&gt;0,'ن-فرعي'!H151,"")</f>
        <v>6145.7690000000002</v>
      </c>
      <c r="G36" s="16" t="str">
        <f>IF('ن-فرعي'!I151&gt;0,'ن-فرعي'!I151,"")</f>
        <v/>
      </c>
      <c r="H36" s="137">
        <f>IF('ن-فرعي'!J151&gt;0,'ن-فرعي'!J151,"")</f>
        <v>11000</v>
      </c>
      <c r="I36" s="112">
        <f t="shared" si="3"/>
        <v>0.7857142857142857</v>
      </c>
    </row>
    <row r="37" spans="2:9" x14ac:dyDescent="0.2">
      <c r="B37" s="31">
        <v>23606000</v>
      </c>
      <c r="C37" s="3" t="str">
        <f>'ن-فرعي'!C152:K152</f>
        <v>العقود والاشتراكات في شبكات المعلومات الدولية والمحلية</v>
      </c>
      <c r="D37" s="16">
        <f>IF('ن-فرعي'!F156&gt;0,'ن-فرعي'!F156,"")</f>
        <v>123000</v>
      </c>
      <c r="E37" s="16">
        <f>IF('ن-فرعي'!G156&gt;0,'ن-فرعي'!G156,"")</f>
        <v>123000</v>
      </c>
      <c r="F37" s="16">
        <f>IF('ن-فرعي'!H156&gt;0,'ن-فرعي'!H156,"")</f>
        <v>39422.1</v>
      </c>
      <c r="G37" s="16" t="str">
        <f>IF('ن-فرعي'!I156&gt;0,'ن-فرعي'!I156,"")</f>
        <v/>
      </c>
      <c r="H37" s="137">
        <f>IF('ن-فرعي'!J156&gt;0,'ن-فرعي'!J156,"")</f>
        <v>83000</v>
      </c>
      <c r="I37" s="112">
        <f t="shared" si="3"/>
        <v>0.67479674796747968</v>
      </c>
    </row>
    <row r="38" spans="2:9" x14ac:dyDescent="0.2">
      <c r="B38" s="31">
        <v>23615000</v>
      </c>
      <c r="C38" s="3" t="str">
        <f>'ن-فرعي'!C157:K157</f>
        <v>لوازم ومشتريات ونفقات متنوعة</v>
      </c>
      <c r="D38" s="16">
        <f>IF('ن-فرعي'!F160&gt;0,'ن-فرعي'!F160,"")</f>
        <v>151000</v>
      </c>
      <c r="E38" s="16">
        <f>IF('ن-فرعي'!G160&gt;0,'ن-فرعي'!G160,"")</f>
        <v>136000</v>
      </c>
      <c r="F38" s="16">
        <f>IF('ن-فرعي'!H160&gt;0,'ن-فرعي'!H160,"")</f>
        <v>26474.978999999999</v>
      </c>
      <c r="G38" s="16">
        <f>IF('ن-فرعي'!I160&gt;0,'ن-فرعي'!I160,"")</f>
        <v>9253.4</v>
      </c>
      <c r="H38" s="137">
        <f>IF('ن-فرعي'!J160&gt;0,'ن-فرعي'!J160,"")</f>
        <v>126000</v>
      </c>
      <c r="I38" s="112">
        <f t="shared" si="3"/>
        <v>0.83443708609271527</v>
      </c>
    </row>
    <row r="39" spans="2:9" x14ac:dyDescent="0.2">
      <c r="B39" s="438" t="str">
        <f>'ن-فرعي'!B161:E161</f>
        <v>مجموع الفصل الخامس: النفقات العامة المشتركة</v>
      </c>
      <c r="C39" s="439"/>
      <c r="D39" s="144">
        <f>SUM(D32:D38)</f>
        <v>1442300</v>
      </c>
      <c r="E39" s="144">
        <f t="shared" ref="E39:H39" si="6">SUM(E32:E38)</f>
        <v>1342500</v>
      </c>
      <c r="F39" s="144">
        <f t="shared" si="6"/>
        <v>676119.34</v>
      </c>
      <c r="G39" s="144">
        <f t="shared" si="6"/>
        <v>236392.17199999999</v>
      </c>
      <c r="H39" s="144">
        <f t="shared" si="6"/>
        <v>1317725</v>
      </c>
      <c r="I39" s="112">
        <f t="shared" si="3"/>
        <v>0.91362753934687657</v>
      </c>
    </row>
    <row r="40" spans="2:9" x14ac:dyDescent="0.2">
      <c r="B40" s="31">
        <v>24601000</v>
      </c>
      <c r="C40" s="6" t="str">
        <f>'ن-فرعي'!C163:K163</f>
        <v>مساهمة الجامعة في الاتحادات العربية والدولية</v>
      </c>
      <c r="D40" s="16">
        <f>IF('ن-فرعي'!F171&gt;0,'ن-فرعي'!F171,"")</f>
        <v>23500</v>
      </c>
      <c r="E40" s="16">
        <f>IF('ن-فرعي'!G171&gt;0,'ن-فرعي'!G171,"")</f>
        <v>23500</v>
      </c>
      <c r="F40" s="16">
        <f>IF('ن-فرعي'!H171&gt;0,'ن-فرعي'!H171,"")</f>
        <v>10943.636</v>
      </c>
      <c r="G40" s="16" t="str">
        <f>IF('ن-فرعي'!I171&gt;0,'ن-فرعي'!I171,"")</f>
        <v/>
      </c>
      <c r="H40" s="137">
        <f>IF('ن-فرعي'!J171&gt;0,'ن-فرعي'!J171,"")</f>
        <v>23900</v>
      </c>
      <c r="I40" s="112">
        <f t="shared" si="3"/>
        <v>1.0170212765957447</v>
      </c>
    </row>
    <row r="41" spans="2:9" x14ac:dyDescent="0.2">
      <c r="B41" s="31">
        <v>24602000</v>
      </c>
      <c r="C41" s="6" t="str">
        <f>'ن-فرعي'!C172:K172</f>
        <v>مساهمة الجامعة في الروابط الجامعية العربية والدولية</v>
      </c>
      <c r="D41" s="16">
        <f>IF('ن-فرعي'!F177&gt;0,'ن-فرعي'!F177,"")</f>
        <v>21100</v>
      </c>
      <c r="E41" s="16">
        <f>IF('ن-فرعي'!G177&gt;0,'ن-فرعي'!G177,"")</f>
        <v>21100</v>
      </c>
      <c r="F41" s="16">
        <f>IF('ن-فرعي'!H177&gt;0,'ن-فرعي'!H177,"")</f>
        <v>18577.692999999999</v>
      </c>
      <c r="G41" s="16" t="str">
        <f>IF('ن-فرعي'!I177&gt;0,'ن-فرعي'!I177,"")</f>
        <v/>
      </c>
      <c r="H41" s="137">
        <f>IF('ن-فرعي'!J177&gt;0,'ن-فرعي'!J177,"")</f>
        <v>21100</v>
      </c>
      <c r="I41" s="112">
        <f t="shared" si="3"/>
        <v>1</v>
      </c>
    </row>
    <row r="42" spans="2:9" x14ac:dyDescent="0.2">
      <c r="B42" s="31">
        <v>24605000</v>
      </c>
      <c r="C42" s="6" t="str">
        <f>'ن-فرعي'!C178:K178</f>
        <v>مساهمة الجامعة في النشاطات والخدمات الأخرى</v>
      </c>
      <c r="D42" s="16">
        <f>IF('ن-فرعي'!F188&gt;0,'ن-فرعي'!F188,"")</f>
        <v>49500</v>
      </c>
      <c r="E42" s="16">
        <f>IF('ن-فرعي'!G188&gt;0,'ن-فرعي'!G188,"")</f>
        <v>49500</v>
      </c>
      <c r="F42" s="16">
        <f>IF('ن-فرعي'!H188&gt;0,'ن-فرعي'!H188,"")</f>
        <v>42104</v>
      </c>
      <c r="G42" s="16" t="str">
        <f>IF('ن-فرعي'!I188&gt;0,'ن-فرعي'!I188,"")</f>
        <v/>
      </c>
      <c r="H42" s="137">
        <f>IF('ن-فرعي'!J188&gt;0,'ن-فرعي'!J188,"")</f>
        <v>49500</v>
      </c>
      <c r="I42" s="112">
        <f t="shared" si="3"/>
        <v>1</v>
      </c>
    </row>
    <row r="43" spans="2:9" x14ac:dyDescent="0.2">
      <c r="B43" s="438" t="str">
        <f>'ن-فرعي'!B189:E189</f>
        <v>مجموع الفصل السادس: المساهمات</v>
      </c>
      <c r="C43" s="439"/>
      <c r="D43" s="144">
        <f>SUM(D40:D42)</f>
        <v>94100</v>
      </c>
      <c r="E43" s="144">
        <f t="shared" ref="E43:H43" si="7">SUM(E40:E42)</f>
        <v>94100</v>
      </c>
      <c r="F43" s="144">
        <f t="shared" si="7"/>
        <v>71625.328999999998</v>
      </c>
      <c r="G43" s="144">
        <f t="shared" si="7"/>
        <v>0</v>
      </c>
      <c r="H43" s="144">
        <f t="shared" si="7"/>
        <v>94500</v>
      </c>
      <c r="I43" s="112">
        <f t="shared" si="3"/>
        <v>1.0042507970244421</v>
      </c>
    </row>
    <row r="44" spans="2:9" x14ac:dyDescent="0.2">
      <c r="B44" s="31">
        <v>24701000</v>
      </c>
      <c r="C44" s="3" t="str">
        <f>'ن-فرعي'!C191:K191</f>
        <v>نفقات التزامات النفقات المتكررة المدورة من سنوات سابقة</v>
      </c>
      <c r="D44" s="16">
        <f>IF('ن-فرعي'!F193&gt;0,'ن-فرعي'!F193,"")</f>
        <v>950000</v>
      </c>
      <c r="E44" s="16">
        <f>IF('ن-فرعي'!G193&gt;0,'ن-فرعي'!G193,"")</f>
        <v>950000</v>
      </c>
      <c r="F44" s="16">
        <f>IF('ن-فرعي'!H193&gt;0,'ن-فرعي'!H193,"")</f>
        <v>449687.85499999998</v>
      </c>
      <c r="G44" s="16">
        <f>IF('ن-فرعي'!I193&gt;0,'ن-فرعي'!I193,"")</f>
        <v>493049.337</v>
      </c>
      <c r="H44" s="137">
        <f>IF('ن-فرعي'!J193&gt;0,'ن-فرعي'!J193,"")</f>
        <v>1150000</v>
      </c>
      <c r="I44" s="112">
        <f t="shared" si="3"/>
        <v>1.2105263157894737</v>
      </c>
    </row>
    <row r="45" spans="2:9" x14ac:dyDescent="0.2">
      <c r="B45" s="438" t="str">
        <f>'ن-فرعي'!B194:E194</f>
        <v>مجموع الفصل السابع: نفقات التزامات النفقات المتكررة المدورة من سنوات سابقة</v>
      </c>
      <c r="C45" s="439"/>
      <c r="D45" s="144">
        <f>SUM(D44:D44)</f>
        <v>950000</v>
      </c>
      <c r="E45" s="144">
        <f t="shared" ref="E45:H45" si="8">SUM(E44:E44)</f>
        <v>950000</v>
      </c>
      <c r="F45" s="144">
        <f t="shared" si="8"/>
        <v>449687.85499999998</v>
      </c>
      <c r="G45" s="144">
        <f t="shared" si="8"/>
        <v>493049.337</v>
      </c>
      <c r="H45" s="144">
        <f t="shared" si="8"/>
        <v>1150000</v>
      </c>
      <c r="I45" s="112">
        <f t="shared" si="3"/>
        <v>1.2105263157894737</v>
      </c>
    </row>
    <row r="46" spans="2:9" x14ac:dyDescent="0.2">
      <c r="B46" s="31">
        <v>24901000</v>
      </c>
      <c r="C46" s="3" t="str">
        <f>'ن-فرعي'!C196:K196</f>
        <v>الفوائد والعمولات المصرفية</v>
      </c>
      <c r="D46" s="16">
        <f>IF('ن-فرعي'!F198&gt;0,'ن-فرعي'!F198,"")</f>
        <v>450000</v>
      </c>
      <c r="E46" s="16">
        <f>IF('ن-فرعي'!G198&gt;0,'ن-فرعي'!G198,"")</f>
        <v>645000</v>
      </c>
      <c r="F46" s="16">
        <f>IF('ن-فرعي'!H198&gt;0,'ن-فرعي'!H198,"")</f>
        <v>640844.58400000003</v>
      </c>
      <c r="G46" s="16" t="str">
        <f>IF('ن-فرعي'!I198&gt;0,'ن-فرعي'!I198,"")</f>
        <v/>
      </c>
      <c r="H46" s="137">
        <f>IF('ن-فرعي'!J198&gt;0,'ن-فرعي'!J198,"")</f>
        <v>800000</v>
      </c>
      <c r="I46" s="112">
        <f t="shared" si="3"/>
        <v>1.7777777777777777</v>
      </c>
    </row>
    <row r="47" spans="2:9" x14ac:dyDescent="0.2">
      <c r="B47" s="438" t="str">
        <f>'ن-فرعي'!B199:E199</f>
        <v>مجموع الفصل التاسع: الفوائد والعمولات المصرفية</v>
      </c>
      <c r="C47" s="439"/>
      <c r="D47" s="144">
        <f>SUM(D46)</f>
        <v>450000</v>
      </c>
      <c r="E47" s="144">
        <f t="shared" ref="E47:H47" si="9">SUM(E46)</f>
        <v>645000</v>
      </c>
      <c r="F47" s="144">
        <f t="shared" si="9"/>
        <v>640844.58400000003</v>
      </c>
      <c r="G47" s="144">
        <f t="shared" si="9"/>
        <v>0</v>
      </c>
      <c r="H47" s="144">
        <f t="shared" si="9"/>
        <v>800000</v>
      </c>
      <c r="I47" s="112">
        <f t="shared" ref="I47:I77" si="10">IFERROR(H47/D47,"")</f>
        <v>1.7777777777777777</v>
      </c>
    </row>
    <row r="48" spans="2:9" x14ac:dyDescent="0.2">
      <c r="B48" s="31">
        <v>25002000</v>
      </c>
      <c r="C48" s="3" t="str">
        <f>'ن-فرعي'!C201:K201</f>
        <v>تسديد فوائد القروض</v>
      </c>
      <c r="D48" s="16">
        <f>IF('ن-فرعي'!F203&gt;0,'ن-فرعي'!F203,"")</f>
        <v>68000</v>
      </c>
      <c r="E48" s="16">
        <f>IF('ن-فرعي'!G203&gt;0,'ن-فرعي'!G203,"")</f>
        <v>68000</v>
      </c>
      <c r="F48" s="16" t="str">
        <f>IF('ن-فرعي'!H203&gt;0,'ن-فرعي'!H203,"")</f>
        <v/>
      </c>
      <c r="G48" s="16" t="str">
        <f>IF('ن-فرعي'!I203&gt;0,'ن-فرعي'!I203,"")</f>
        <v/>
      </c>
      <c r="H48" s="137">
        <f>IF('ن-فرعي'!J203&gt;0,'ن-فرعي'!J203,"")</f>
        <v>100000</v>
      </c>
      <c r="I48" s="112">
        <f t="shared" si="10"/>
        <v>1.4705882352941178</v>
      </c>
    </row>
    <row r="49" spans="2:9" x14ac:dyDescent="0.2">
      <c r="B49" s="438" t="str">
        <f>'ن-فرعي'!B204:E204</f>
        <v>مجموع الفصل العاشر: تسديد فوائد القروض</v>
      </c>
      <c r="C49" s="439"/>
      <c r="D49" s="144">
        <f>SUM(D48:D48)</f>
        <v>68000</v>
      </c>
      <c r="E49" s="144">
        <f>SUM(E48:E48)</f>
        <v>68000</v>
      </c>
      <c r="F49" s="144">
        <f>SUM(F48:F48)</f>
        <v>0</v>
      </c>
      <c r="G49" s="144">
        <f>SUM(G48:G48)</f>
        <v>0</v>
      </c>
      <c r="H49" s="144">
        <f>SUM(H48:H48)</f>
        <v>100000</v>
      </c>
      <c r="I49" s="112">
        <f t="shared" si="10"/>
        <v>1.4705882352941178</v>
      </c>
    </row>
    <row r="50" spans="2:9" x14ac:dyDescent="0.2">
      <c r="B50" s="458" t="str">
        <f>'ن-فرعي'!B205:E205</f>
        <v>مجموع الباب الأول: النفقات المتكررة</v>
      </c>
      <c r="C50" s="459"/>
      <c r="D50" s="138">
        <f>D8+D14+D22+D31+D39+D43+D45+D47+D49</f>
        <v>30240863</v>
      </c>
      <c r="E50" s="138">
        <f>E8+E14+E22+E31+E39+E43+E45+E47+E49</f>
        <v>31022863</v>
      </c>
      <c r="F50" s="138">
        <f>F8+F14+F22+F31+F39+F43+F45+F47+F49</f>
        <v>28171808.677999999</v>
      </c>
      <c r="G50" s="138">
        <f>G8+G14+G22+G31+G39+G43+G45+G47+G49</f>
        <v>1018108.5659999999</v>
      </c>
      <c r="H50" s="138">
        <f>H8+H14+H22+H31+H39+H43+H45+H47+H49</f>
        <v>31092000</v>
      </c>
      <c r="I50" s="112">
        <f t="shared" si="10"/>
        <v>1.0281452615952131</v>
      </c>
    </row>
    <row r="51" spans="2:9" x14ac:dyDescent="0.2">
      <c r="B51" s="31">
        <v>25101000</v>
      </c>
      <c r="C51" s="3" t="str">
        <f>'ن-فرعي'!C208:K208</f>
        <v>دعم البحث العلمي ودعم النشر ومكافآت تقييم الأبحات</v>
      </c>
      <c r="D51" s="16">
        <f>IF('ن-فرعي'!F215&gt;0,'ن-فرعي'!F215,"")</f>
        <v>820000</v>
      </c>
      <c r="E51" s="16">
        <f>IF('ن-فرعي'!G215&gt;0,'ن-فرعي'!G215,"")</f>
        <v>1008500</v>
      </c>
      <c r="F51" s="16">
        <f>IF('ن-فرعي'!H215&gt;0,'ن-فرعي'!H215,"")</f>
        <v>967889.29</v>
      </c>
      <c r="G51" s="16" t="str">
        <f>IF('ن-فرعي'!I215&gt;0,'ن-فرعي'!I215,"")</f>
        <v/>
      </c>
      <c r="H51" s="137">
        <f>IF('ن-فرعي'!J215&gt;0,'ن-فرعي'!J215,"")</f>
        <v>820000</v>
      </c>
      <c r="I51" s="112">
        <f t="shared" si="10"/>
        <v>1</v>
      </c>
    </row>
    <row r="52" spans="2:9" s="46" customFormat="1" x14ac:dyDescent="0.2">
      <c r="B52" s="127">
        <v>25102000</v>
      </c>
      <c r="C52" s="262" t="str">
        <f>'ن-فرعي'!C216:K216</f>
        <v>مراقبة إعداد الرسائل العلمية</v>
      </c>
      <c r="D52" s="16" t="str">
        <f>IF('ن-فرعي'!F217&gt;0,'ن-فرعي'!F217,"")</f>
        <v/>
      </c>
      <c r="E52" s="16" t="str">
        <f>IF('ن-فرعي'!G217&gt;0,'ن-فرعي'!G217,"")</f>
        <v/>
      </c>
      <c r="F52" s="16" t="str">
        <f>IF('ن-فرعي'!H217&gt;0,'ن-فرعي'!H217,"")</f>
        <v/>
      </c>
      <c r="G52" s="16" t="str">
        <f>IF('ن-فرعي'!I217&gt;0,'ن-فرعي'!I217,"")</f>
        <v/>
      </c>
      <c r="H52" s="137">
        <f>IF('ن-فرعي'!J217&gt;0,'ن-فرعي'!J217,"")</f>
        <v>15000</v>
      </c>
      <c r="I52" s="112" t="str">
        <f t="shared" si="10"/>
        <v/>
      </c>
    </row>
    <row r="53" spans="2:9" x14ac:dyDescent="0.2">
      <c r="B53" s="438" t="str">
        <f>'ن-فرعي'!B219:E219</f>
        <v>مجموع الفصل الأول: دعم البحث العلمي ودعم النشر ومكافآت تقييم الأبحات ومراقبة إعداد الرسائل العلمية</v>
      </c>
      <c r="C53" s="439"/>
      <c r="D53" s="144">
        <f>SUM(D51:D52)</f>
        <v>820000</v>
      </c>
      <c r="E53" s="144">
        <f t="shared" ref="E53:H53" si="11">SUM(E51:E52)</f>
        <v>1008500</v>
      </c>
      <c r="F53" s="144">
        <f t="shared" si="11"/>
        <v>967889.29</v>
      </c>
      <c r="G53" s="144">
        <f t="shared" si="11"/>
        <v>0</v>
      </c>
      <c r="H53" s="144">
        <f t="shared" si="11"/>
        <v>835000</v>
      </c>
      <c r="I53" s="112">
        <f t="shared" si="10"/>
        <v>1.0182926829268293</v>
      </c>
    </row>
    <row r="54" spans="2:9" x14ac:dyDescent="0.2">
      <c r="B54" s="31">
        <v>25201000</v>
      </c>
      <c r="C54" s="3" t="str">
        <f>'ن-فرعي'!C221:K221</f>
        <v>دعم بحوث ومنح طلبة الدراسات العليا</v>
      </c>
      <c r="D54" s="16">
        <f>IF('ن-فرعي'!F224&gt;0,'ن-فرعي'!F224,"")</f>
        <v>6000</v>
      </c>
      <c r="E54" s="16">
        <f>IF('ن-فرعي'!G224&gt;0,'ن-فرعي'!G224,"")</f>
        <v>10500</v>
      </c>
      <c r="F54" s="16">
        <f>IF('ن-فرعي'!H224&gt;0,'ن-فرعي'!H224,"")</f>
        <v>2897.44</v>
      </c>
      <c r="G54" s="16">
        <f>IF('ن-فرعي'!I224&gt;0,'ن-فرعي'!I224,"")</f>
        <v>6152.56</v>
      </c>
      <c r="H54" s="137">
        <f>IF('ن-فرعي'!J224&gt;0,'ن-فرعي'!J224,"")</f>
        <v>15000</v>
      </c>
      <c r="I54" s="112">
        <f t="shared" si="10"/>
        <v>2.5</v>
      </c>
    </row>
    <row r="55" spans="2:9" x14ac:dyDescent="0.2">
      <c r="B55" s="438" t="str">
        <f>'ن-فرعي'!B225:E225</f>
        <v>مجموع الفصل الثاني: دعم بحوث ومنح طلبة الدراسات العليا</v>
      </c>
      <c r="C55" s="439"/>
      <c r="D55" s="144">
        <f>SUM(D54)</f>
        <v>6000</v>
      </c>
      <c r="E55" s="144">
        <f t="shared" ref="E55:H55" si="12">SUM(E54)</f>
        <v>10500</v>
      </c>
      <c r="F55" s="144">
        <f t="shared" si="12"/>
        <v>2897.44</v>
      </c>
      <c r="G55" s="144">
        <f t="shared" si="12"/>
        <v>6152.56</v>
      </c>
      <c r="H55" s="144">
        <f t="shared" si="12"/>
        <v>15000</v>
      </c>
      <c r="I55" s="112">
        <f t="shared" si="10"/>
        <v>2.5</v>
      </c>
    </row>
    <row r="56" spans="2:9" x14ac:dyDescent="0.2">
      <c r="B56" s="31">
        <v>25301000</v>
      </c>
      <c r="C56" s="3" t="s">
        <v>427</v>
      </c>
      <c r="D56" s="16">
        <f>IF('ن-فرعي'!F232&gt;0,'ن-فرعي'!F232,"")</f>
        <v>51000</v>
      </c>
      <c r="E56" s="16">
        <f>IF('ن-فرعي'!G232&gt;0,'ن-فرعي'!G232,"")</f>
        <v>13000</v>
      </c>
      <c r="F56" s="16" t="str">
        <f>IF('ن-فرعي'!H232&gt;0,'ن-فرعي'!H232,"")</f>
        <v/>
      </c>
      <c r="G56" s="16">
        <f>IF('ن-فرعي'!I232&gt;0,'ن-فرعي'!I232,"")</f>
        <v>2508</v>
      </c>
      <c r="H56" s="137">
        <f>IF('ن-فرعي'!J232&gt;0,'ن-فرعي'!J232,"")</f>
        <v>131000</v>
      </c>
      <c r="I56" s="112">
        <f t="shared" si="10"/>
        <v>2.5686274509803924</v>
      </c>
    </row>
    <row r="57" spans="2:9" x14ac:dyDescent="0.2">
      <c r="B57" s="438" t="str">
        <f>'ن-فرعي'!B233:E233</f>
        <v xml:space="preserve">مجموع الفصل الثالث: دعم المشاركة في المؤتمرات والندوات العلمية </v>
      </c>
      <c r="C57" s="439"/>
      <c r="D57" s="144">
        <f>SUM(D56:D56)</f>
        <v>51000</v>
      </c>
      <c r="E57" s="144">
        <f t="shared" ref="E57:H57" si="13">SUM(E56:E56)</f>
        <v>13000</v>
      </c>
      <c r="F57" s="144">
        <f t="shared" si="13"/>
        <v>0</v>
      </c>
      <c r="G57" s="144">
        <f t="shared" si="13"/>
        <v>2508</v>
      </c>
      <c r="H57" s="144">
        <f t="shared" si="13"/>
        <v>131000</v>
      </c>
      <c r="I57" s="112">
        <f t="shared" si="10"/>
        <v>2.5686274509803924</v>
      </c>
    </row>
    <row r="58" spans="2:9" x14ac:dyDescent="0.2">
      <c r="B58" s="31">
        <v>25401000</v>
      </c>
      <c r="C58" s="3" t="str">
        <f>'ن-فرعي'!C235:K235</f>
        <v>المجلات والمطبوعات العلمية والثقافية</v>
      </c>
      <c r="D58" s="16">
        <f>IF('ن-فرعي'!F241&gt;0,'ن-فرعي'!F241,"")</f>
        <v>53000</v>
      </c>
      <c r="E58" s="16">
        <f>IF('ن-فرعي'!G241&gt;0,'ن-فرعي'!G241,"")</f>
        <v>58000</v>
      </c>
      <c r="F58" s="16">
        <f>IF('ن-فرعي'!H241&gt;0,'ن-فرعي'!H241,"")</f>
        <v>47927.5</v>
      </c>
      <c r="G58" s="16">
        <f>IF('ن-فرعي'!I241&gt;0,'ن-فرعي'!I241,"")</f>
        <v>6000</v>
      </c>
      <c r="H58" s="137">
        <f>IF('ن-فرعي'!J241&gt;0,'ن-فرعي'!J241,"")</f>
        <v>47500</v>
      </c>
      <c r="I58" s="112">
        <f t="shared" si="10"/>
        <v>0.89622641509433965</v>
      </c>
    </row>
    <row r="59" spans="2:9" x14ac:dyDescent="0.2">
      <c r="B59" s="438" t="str">
        <f>'ن-فرعي'!B242:E242</f>
        <v>مجموع الفصل الرابع: المجلات والمطبوعات العلمية والثقافية</v>
      </c>
      <c r="C59" s="439"/>
      <c r="D59" s="144">
        <f>SUM(D58)</f>
        <v>53000</v>
      </c>
      <c r="E59" s="144">
        <f t="shared" ref="E59:H59" si="14">SUM(E58)</f>
        <v>58000</v>
      </c>
      <c r="F59" s="144">
        <f t="shared" si="14"/>
        <v>47927.5</v>
      </c>
      <c r="G59" s="144">
        <f t="shared" si="14"/>
        <v>6000</v>
      </c>
      <c r="H59" s="144">
        <f t="shared" si="14"/>
        <v>47500</v>
      </c>
      <c r="I59" s="112">
        <f t="shared" si="10"/>
        <v>0.89622641509433965</v>
      </c>
    </row>
    <row r="60" spans="2:9" x14ac:dyDescent="0.2">
      <c r="B60" s="31">
        <v>25501000</v>
      </c>
      <c r="C60" s="3" t="str">
        <f>'ن-فرعي'!C244:K244</f>
        <v>نفقات التزامات البحث العلمي المدورة من سنوات سابقة</v>
      </c>
      <c r="D60" s="16">
        <f>IF('ن-فرعي'!F246&gt;0,'ن-فرعي'!F246,"")</f>
        <v>700000</v>
      </c>
      <c r="E60" s="16">
        <f>IF('ن-فرعي'!G246&gt;0,'ن-فرعي'!G246,"")</f>
        <v>684000</v>
      </c>
      <c r="F60" s="16">
        <f>IF('ن-فرعي'!H246&gt;0,'ن-فرعي'!H246,"")</f>
        <v>267208.53100000002</v>
      </c>
      <c r="G60" s="16">
        <f>IF('ن-فرعي'!I246&gt;0,'ن-فرعي'!I246,"")</f>
        <v>415893.59399999998</v>
      </c>
      <c r="H60" s="137">
        <f>IF('ن-فرعي'!J246&gt;0,'ن-فرعي'!J246,"")</f>
        <v>620000</v>
      </c>
      <c r="I60" s="112">
        <f t="shared" si="10"/>
        <v>0.88571428571428568</v>
      </c>
    </row>
    <row r="61" spans="2:9" x14ac:dyDescent="0.2">
      <c r="B61" s="438" t="str">
        <f>'ن-فرعي'!B247:E247</f>
        <v>مجموع الفصل الخامس: نفقات التزامات البحث العلمي المدورة من سنوات سابقة</v>
      </c>
      <c r="C61" s="439"/>
      <c r="D61" s="144">
        <f>SUM(D60:D60)</f>
        <v>700000</v>
      </c>
      <c r="E61" s="144">
        <f t="shared" ref="E61:H61" si="15">SUM(E60:E60)</f>
        <v>684000</v>
      </c>
      <c r="F61" s="144">
        <f t="shared" si="15"/>
        <v>267208.53100000002</v>
      </c>
      <c r="G61" s="144">
        <f t="shared" si="15"/>
        <v>415893.59399999998</v>
      </c>
      <c r="H61" s="144">
        <f t="shared" si="15"/>
        <v>620000</v>
      </c>
      <c r="I61" s="112">
        <f t="shared" si="10"/>
        <v>0.88571428571428568</v>
      </c>
    </row>
    <row r="62" spans="2:9" x14ac:dyDescent="0.2">
      <c r="B62" s="31">
        <v>25601000</v>
      </c>
      <c r="C62" s="3" t="str">
        <f>'ن-فرعي'!C249:K249</f>
        <v>أجهزة وتجهيزات وحواسيب للتدريس والبحث العلمي</v>
      </c>
      <c r="D62" s="16">
        <f>IF('ن-فرعي'!F252&gt;0,'ن-فرعي'!F252,"")</f>
        <v>116000</v>
      </c>
      <c r="E62" s="16">
        <f>IF('ن-فرعي'!G252&gt;0,'ن-فرعي'!G252,"")</f>
        <v>16000</v>
      </c>
      <c r="F62" s="16">
        <f>IF('ن-فرعي'!H252&gt;0,'ن-فرعي'!H252,"")</f>
        <v>2673</v>
      </c>
      <c r="G62" s="16">
        <f>IF('ن-فرعي'!I252&gt;0,'ن-فرعي'!I252,"")</f>
        <v>10820</v>
      </c>
      <c r="H62" s="137">
        <f>IF('ن-فرعي'!J252&gt;0,'ن-فرعي'!J252,"")</f>
        <v>244000</v>
      </c>
      <c r="I62" s="112">
        <f t="shared" si="10"/>
        <v>2.103448275862069</v>
      </c>
    </row>
    <row r="63" spans="2:9" x14ac:dyDescent="0.2">
      <c r="B63" s="31">
        <v>25602000</v>
      </c>
      <c r="C63" s="3" t="str">
        <f>'ن-فرعي'!E254</f>
        <v>نفقات البحث والتدريس (مواد بحثية وتعليمية، زجاجيات، كيماويات)</v>
      </c>
      <c r="D63" s="16">
        <f>IF('ن-فرعي'!F255&gt;0,'ن-فرعي'!F255,"")</f>
        <v>69000</v>
      </c>
      <c r="E63" s="16">
        <f>IF('ن-فرعي'!G255&gt;0,'ن-فرعي'!G255,"")</f>
        <v>80000</v>
      </c>
      <c r="F63" s="16">
        <f>IF('ن-فرعي'!H255&gt;0,'ن-فرعي'!H255,"")</f>
        <v>26431.962</v>
      </c>
      <c r="G63" s="16">
        <f>IF('ن-فرعي'!I255&gt;0,'ن-فرعي'!I255,"")</f>
        <v>51587.24</v>
      </c>
      <c r="H63" s="137">
        <f>IF('ن-فرعي'!J255&gt;0,'ن-فرعي'!J255,"")</f>
        <v>124000</v>
      </c>
      <c r="I63" s="112">
        <f t="shared" si="10"/>
        <v>1.7971014492753623</v>
      </c>
    </row>
    <row r="64" spans="2:9" x14ac:dyDescent="0.2">
      <c r="B64" s="31">
        <v>25602000</v>
      </c>
      <c r="C64" s="3" t="str">
        <f>'ن-فرعي'!E257</f>
        <v xml:space="preserve">صيانة وعقود صيانة أجهزة المختبرات العلمية  </v>
      </c>
      <c r="D64" s="16">
        <f>IF('ن-فرعي'!F257&gt;0,'ن-فرعي'!F257,"")</f>
        <v>55137</v>
      </c>
      <c r="E64" s="16">
        <f>IF('ن-فرعي'!G257&gt;0,'ن-فرعي'!G257,"")</f>
        <v>20137</v>
      </c>
      <c r="F64" s="16">
        <f>IF('ن-فرعي'!H257&gt;0,'ن-فرعي'!H257,"")</f>
        <v>6785.9989999999998</v>
      </c>
      <c r="G64" s="16">
        <f>IF('ن-فرعي'!I257&gt;0,'ن-فرعي'!I257,"")</f>
        <v>12489.001</v>
      </c>
      <c r="H64" s="137">
        <f>IF('ن-فرعي'!J257&gt;0,'ن-فرعي'!J257,"")</f>
        <v>77000</v>
      </c>
      <c r="I64" s="112">
        <f t="shared" si="10"/>
        <v>1.3965213921685982</v>
      </c>
    </row>
    <row r="65" spans="2:9" x14ac:dyDescent="0.2">
      <c r="B65" s="438" t="str">
        <f>'ن-فرعي'!B259:E259</f>
        <v>مجموع الفصل السادس: أجهزة وتجهيزات وحواسيب للتدريس والبحث العلمي</v>
      </c>
      <c r="C65" s="439"/>
      <c r="D65" s="144">
        <f>SUM(D62:D64)</f>
        <v>240137</v>
      </c>
      <c r="E65" s="144">
        <f t="shared" ref="E65:H65" si="16">SUM(E62:E64)</f>
        <v>116137</v>
      </c>
      <c r="F65" s="144">
        <f t="shared" si="16"/>
        <v>35890.960999999996</v>
      </c>
      <c r="G65" s="144">
        <f t="shared" si="16"/>
        <v>74896.240999999995</v>
      </c>
      <c r="H65" s="144">
        <f t="shared" si="16"/>
        <v>445000</v>
      </c>
      <c r="I65" s="112">
        <f t="shared" si="10"/>
        <v>1.8531088503645836</v>
      </c>
    </row>
    <row r="66" spans="2:9" x14ac:dyDescent="0.2">
      <c r="B66" s="31">
        <v>25701000</v>
      </c>
      <c r="C66" s="3" t="str">
        <f>'ن-فرعي'!C261:K261</f>
        <v>الكتب والدوريات الورقية والالكترونية</v>
      </c>
      <c r="D66" s="16">
        <f>IF('ن-فرعي'!F264&gt;0,'ن-فرعي'!F264,"")</f>
        <v>21000</v>
      </c>
      <c r="E66" s="16">
        <f>IF('ن-فرعي'!G264&gt;0,'ن-فرعي'!G264,"")</f>
        <v>1000</v>
      </c>
      <c r="F66" s="16">
        <f>IF('ن-فرعي'!H264&gt;0,'ن-فرعي'!H264,"")</f>
        <v>201</v>
      </c>
      <c r="G66" s="16" t="str">
        <f>IF('ن-فرعي'!I264&gt;0,'ن-فرعي'!I264,"")</f>
        <v/>
      </c>
      <c r="H66" s="137">
        <f>IF('ن-فرعي'!J264&gt;0,'ن-فرعي'!J264,"")</f>
        <v>35000</v>
      </c>
      <c r="I66" s="112">
        <f t="shared" si="10"/>
        <v>1.6666666666666667</v>
      </c>
    </row>
    <row r="67" spans="2:9" x14ac:dyDescent="0.2">
      <c r="B67" s="438" t="str">
        <f>'ن-فرعي'!B265:E265</f>
        <v xml:space="preserve">مجموع الفصل السابع: الكتب والدوريات الورقية والالكترونية </v>
      </c>
      <c r="C67" s="439"/>
      <c r="D67" s="144">
        <f>SUM(D66:D66)</f>
        <v>21000</v>
      </c>
      <c r="E67" s="144">
        <f t="shared" ref="E67:H67" si="17">SUM(E66:E66)</f>
        <v>1000</v>
      </c>
      <c r="F67" s="144">
        <f t="shared" si="17"/>
        <v>201</v>
      </c>
      <c r="G67" s="144">
        <f t="shared" si="17"/>
        <v>0</v>
      </c>
      <c r="H67" s="144">
        <f t="shared" si="17"/>
        <v>35000</v>
      </c>
      <c r="I67" s="112">
        <f t="shared" si="10"/>
        <v>1.6666666666666667</v>
      </c>
    </row>
    <row r="68" spans="2:9" x14ac:dyDescent="0.2">
      <c r="B68" s="458" t="str">
        <f>'ن-فرعي'!B266:E266</f>
        <v>مجموع الباب الثاني: نفقات البحث العلمي</v>
      </c>
      <c r="C68" s="459"/>
      <c r="D68" s="138">
        <f>D53+D55+D57+D59+D61+D65+D67</f>
        <v>1891137</v>
      </c>
      <c r="E68" s="138">
        <f t="shared" ref="E68:H68" si="18">E53+E55+E57+E59+E61+E65+E67</f>
        <v>1891137</v>
      </c>
      <c r="F68" s="138">
        <f t="shared" si="18"/>
        <v>1322014.7219999998</v>
      </c>
      <c r="G68" s="138">
        <f t="shared" si="18"/>
        <v>505450.39499999996</v>
      </c>
      <c r="H68" s="138">
        <f t="shared" si="18"/>
        <v>2128500</v>
      </c>
      <c r="I68" s="112">
        <f t="shared" si="10"/>
        <v>1.1255133816323195</v>
      </c>
    </row>
    <row r="69" spans="2:9" x14ac:dyDescent="0.2">
      <c r="B69" s="31">
        <v>25901000</v>
      </c>
      <c r="C69" s="3" t="str">
        <f>'ن-فرعي'!C269:K269</f>
        <v>نفقات البعثات العلمية</v>
      </c>
      <c r="D69" s="16">
        <f>IF('ن-فرعي'!F271&gt;0,'ن-فرعي'!F271,"")</f>
        <v>400000</v>
      </c>
      <c r="E69" s="16">
        <f>IF('ن-فرعي'!G271&gt;0,'ن-فرعي'!G271,"")</f>
        <v>400000</v>
      </c>
      <c r="F69" s="16">
        <f>IF('ن-فرعي'!H271&gt;0,'ن-فرعي'!H271,"")</f>
        <v>295103.71399999998</v>
      </c>
      <c r="G69" s="16" t="str">
        <f>IF('ن-فرعي'!I271&gt;0,'ن-فرعي'!I271,"")</f>
        <v/>
      </c>
      <c r="H69" s="137">
        <f>IF('ن-فرعي'!J271&gt;0,'ن-فرعي'!J271,"")</f>
        <v>300000</v>
      </c>
      <c r="I69" s="112">
        <f t="shared" si="10"/>
        <v>0.75</v>
      </c>
    </row>
    <row r="70" spans="2:9" x14ac:dyDescent="0.2">
      <c r="B70" s="31">
        <v>25902000</v>
      </c>
      <c r="C70" s="3" t="str">
        <f>'ن-فرعي'!C272:K272</f>
        <v>الدورات التدريبية</v>
      </c>
      <c r="D70" s="16">
        <f>IF('ن-فرعي'!F274&gt;0,'ن-فرعي'!F274,"")</f>
        <v>10000</v>
      </c>
      <c r="E70" s="16">
        <f>IF('ن-فرعي'!G274&gt;0,'ن-فرعي'!G274,"")</f>
        <v>10000</v>
      </c>
      <c r="F70" s="16">
        <f>IF('ن-فرعي'!H274&gt;0,'ن-فرعي'!H274,"")</f>
        <v>200</v>
      </c>
      <c r="G70" s="16" t="str">
        <f>IF('ن-فرعي'!I274&gt;0,'ن-فرعي'!I274,"")</f>
        <v/>
      </c>
      <c r="H70" s="137">
        <f>IF('ن-فرعي'!J274&gt;0,'ن-فرعي'!J274,"")</f>
        <v>10000</v>
      </c>
      <c r="I70" s="112">
        <f t="shared" si="10"/>
        <v>1</v>
      </c>
    </row>
    <row r="71" spans="2:9" x14ac:dyDescent="0.2">
      <c r="B71" s="438" t="str">
        <f>'ن-فرعي'!B275:E275</f>
        <v>مجموع الفصل الأول: نفقات البعثات العلمية والدورات التدريبية</v>
      </c>
      <c r="C71" s="439"/>
      <c r="D71" s="144">
        <f>SUM(D69:D70)</f>
        <v>410000</v>
      </c>
      <c r="E71" s="144">
        <f t="shared" ref="E71:H71" si="19">SUM(E69:E70)</f>
        <v>410000</v>
      </c>
      <c r="F71" s="144">
        <f t="shared" si="19"/>
        <v>295303.71399999998</v>
      </c>
      <c r="G71" s="144">
        <f t="shared" si="19"/>
        <v>0</v>
      </c>
      <c r="H71" s="144">
        <f t="shared" si="19"/>
        <v>310000</v>
      </c>
      <c r="I71" s="112">
        <f t="shared" si="10"/>
        <v>0.75609756097560976</v>
      </c>
    </row>
    <row r="72" spans="2:9" x14ac:dyDescent="0.2">
      <c r="B72" s="458" t="str">
        <f>'ن-فرعي'!B276:E276</f>
        <v>مجموع الباب الثالث: نفقات البعثات العلمية والدورات التدريبية</v>
      </c>
      <c r="C72" s="459"/>
      <c r="D72" s="138">
        <f>D71</f>
        <v>410000</v>
      </c>
      <c r="E72" s="138">
        <f t="shared" ref="E72:H72" si="20">E71</f>
        <v>410000</v>
      </c>
      <c r="F72" s="138">
        <f t="shared" si="20"/>
        <v>295303.71399999998</v>
      </c>
      <c r="G72" s="138">
        <f t="shared" si="20"/>
        <v>0</v>
      </c>
      <c r="H72" s="138">
        <f t="shared" si="20"/>
        <v>310000</v>
      </c>
      <c r="I72" s="112">
        <f t="shared" si="10"/>
        <v>0.75609756097560976</v>
      </c>
    </row>
    <row r="73" spans="2:9" x14ac:dyDescent="0.2">
      <c r="B73" s="31">
        <v>26201000</v>
      </c>
      <c r="C73" s="3" t="str">
        <f>'ن-فرعي'!C279:K279</f>
        <v xml:space="preserve">رخص متنوعة </v>
      </c>
      <c r="D73" s="16">
        <f>IF('ن-فرعي'!F284&gt;0,'ن-فرعي'!F284,"")</f>
        <v>171000</v>
      </c>
      <c r="E73" s="16">
        <f>IF('ن-فرعي'!G284&gt;0,'ن-فرعي'!G284,"")</f>
        <v>171000</v>
      </c>
      <c r="F73" s="16">
        <f>IF('ن-فرعي'!H284&gt;0,'ن-فرعي'!H284,"")</f>
        <v>1849.4380000000001</v>
      </c>
      <c r="G73" s="16">
        <f>IF('ن-فرعي'!I284&gt;0,'ن-فرعي'!I284,"")</f>
        <v>47900</v>
      </c>
      <c r="H73" s="137">
        <f>IF('ن-فرعي'!J284&gt;0,'ن-فرعي'!J284,"")</f>
        <v>154500</v>
      </c>
      <c r="I73" s="112">
        <f t="shared" si="10"/>
        <v>0.90350877192982459</v>
      </c>
    </row>
    <row r="74" spans="2:9" x14ac:dyDescent="0.2">
      <c r="B74" s="31">
        <v>26202000</v>
      </c>
      <c r="C74" s="3" t="str">
        <f>'ن-فرعي'!C285:K285</f>
        <v>تطوير التقنيات المختلفة (خوادم، برمجيات ...)</v>
      </c>
      <c r="D74" s="16">
        <f>IF('ن-فرعي'!F288&gt;0,'ن-فرعي'!F288,"")</f>
        <v>50000</v>
      </c>
      <c r="E74" s="16">
        <f>IF('ن-فرعي'!G288&gt;0,'ن-فرعي'!G288,"")</f>
        <v>50000</v>
      </c>
      <c r="F74" s="16" t="str">
        <f>IF('ن-فرعي'!H288&gt;0,'ن-فرعي'!H288,"")</f>
        <v/>
      </c>
      <c r="G74" s="16">
        <f>IF('ن-فرعي'!I288&gt;0,'ن-فرعي'!I288,"")</f>
        <v>300</v>
      </c>
      <c r="H74" s="137">
        <f>IF('ن-فرعي'!J288&gt;0,'ن-فرعي'!J288,"")</f>
        <v>180000</v>
      </c>
      <c r="I74" s="112">
        <f t="shared" si="10"/>
        <v>3.6</v>
      </c>
    </row>
    <row r="75" spans="2:9" x14ac:dyDescent="0.2">
      <c r="B75" s="438" t="str">
        <f>'ن-فرعي'!B289:E289</f>
        <v>مجموع الفصل الأول: رخص متنوعة وتطوير التقنيات المختلفة</v>
      </c>
      <c r="C75" s="439"/>
      <c r="D75" s="144">
        <f>SUM(D73:D74)</f>
        <v>221000</v>
      </c>
      <c r="E75" s="144">
        <f t="shared" ref="E75:H75" si="21">SUM(E73:E74)</f>
        <v>221000</v>
      </c>
      <c r="F75" s="144">
        <f t="shared" si="21"/>
        <v>1849.4380000000001</v>
      </c>
      <c r="G75" s="144">
        <f t="shared" si="21"/>
        <v>48200</v>
      </c>
      <c r="H75" s="144">
        <f t="shared" si="21"/>
        <v>334500</v>
      </c>
      <c r="I75" s="112">
        <f t="shared" si="10"/>
        <v>1.5135746606334841</v>
      </c>
    </row>
    <row r="76" spans="2:9" x14ac:dyDescent="0.2">
      <c r="B76" s="31">
        <v>26301000</v>
      </c>
      <c r="C76" s="3" t="str">
        <f>'ن-فرعي'!C291:K291</f>
        <v>التجهيزات المكتبية والأثاث</v>
      </c>
      <c r="D76" s="16">
        <f>IF('ن-فرعي'!F298&gt;0,'ن-فرعي'!F298,"")</f>
        <v>669000</v>
      </c>
      <c r="E76" s="16">
        <f>IF('ن-فرعي'!G298&gt;0,'ن-فرعي'!G298,"")</f>
        <v>669000</v>
      </c>
      <c r="F76" s="16">
        <f>IF('ن-فرعي'!H298&gt;0,'ن-فرعي'!H298,"")</f>
        <v>2827.1979999999999</v>
      </c>
      <c r="G76" s="16">
        <f>IF('ن-فرعي'!I298&gt;0,'ن-فرعي'!I298,"")</f>
        <v>9401.5020000000004</v>
      </c>
      <c r="H76" s="137">
        <f>IF('ن-فرعي'!J298&gt;0,'ن-فرعي'!J298,"")</f>
        <v>75000</v>
      </c>
      <c r="I76" s="112">
        <f t="shared" si="10"/>
        <v>0.11210762331838565</v>
      </c>
    </row>
    <row r="77" spans="2:9" x14ac:dyDescent="0.2">
      <c r="B77" s="31">
        <v>26302000</v>
      </c>
      <c r="C77" s="3" t="str">
        <f>'ن-فرعي'!C299:K299</f>
        <v>أجهزة وتجهيزات خاصة بجهات الجامعة المختلفة</v>
      </c>
      <c r="D77" s="16">
        <f>IF('ن-فرعي'!F305&gt;0,'ن-فرعي'!F305,"")</f>
        <v>105000</v>
      </c>
      <c r="E77" s="16">
        <f>IF('ن-فرعي'!G305&gt;0,'ن-فرعي'!G305,"")</f>
        <v>105000</v>
      </c>
      <c r="F77" s="16">
        <f>IF('ن-فرعي'!H305&gt;0,'ن-فرعي'!H305,"")</f>
        <v>3684.25</v>
      </c>
      <c r="G77" s="16">
        <f>IF('ن-فرعي'!I305&gt;0,'ن-فرعي'!I305,"")</f>
        <v>13675.75</v>
      </c>
      <c r="H77" s="137">
        <f>IF('ن-فرعي'!J305&gt;0,'ن-فرعي'!J305,"")</f>
        <v>56000</v>
      </c>
      <c r="I77" s="112">
        <f t="shared" si="10"/>
        <v>0.53333333333333333</v>
      </c>
    </row>
    <row r="78" spans="2:9" x14ac:dyDescent="0.2">
      <c r="B78" s="31">
        <v>26303000</v>
      </c>
      <c r="C78" s="3" t="str">
        <f>'ن-فرعي'!C306:K306</f>
        <v>أجهزة وتجهيزات خاصة بسكنات الطلبة</v>
      </c>
      <c r="D78" s="16">
        <f>IF('ن-فرعي'!F309&gt;0,'ن-فرعي'!F309,"")</f>
        <v>13000</v>
      </c>
      <c r="E78" s="16">
        <f>IF('ن-فرعي'!G309&gt;0,'ن-فرعي'!G309,"")</f>
        <v>13000</v>
      </c>
      <c r="F78" s="16" t="str">
        <f>IF('ن-فرعي'!H309&gt;0,'ن-فرعي'!H309,"")</f>
        <v/>
      </c>
      <c r="G78" s="16">
        <f>IF('ن-فرعي'!I309&gt;0,'ن-فرعي'!I309,"")</f>
        <v>1150</v>
      </c>
      <c r="H78" s="137">
        <f>IF('ن-فرعي'!J309&gt;0,'ن-فرعي'!J309,"")</f>
        <v>14000</v>
      </c>
      <c r="I78" s="112">
        <f t="shared" ref="I78:I94" si="22">IFERROR(H78/D78,"")</f>
        <v>1.0769230769230769</v>
      </c>
    </row>
    <row r="79" spans="2:9" x14ac:dyDescent="0.2">
      <c r="B79" s="438" t="str">
        <f>'ن-فرعي'!B310:E310</f>
        <v>مجموع الفصل الثاني: التجهيزات المكتبية والأثاث</v>
      </c>
      <c r="C79" s="439"/>
      <c r="D79" s="144">
        <f>SUM(D76:D78)</f>
        <v>787000</v>
      </c>
      <c r="E79" s="144">
        <f t="shared" ref="E79:H79" si="23">SUM(E76:E78)</f>
        <v>787000</v>
      </c>
      <c r="F79" s="144">
        <f t="shared" si="23"/>
        <v>6511.4480000000003</v>
      </c>
      <c r="G79" s="144">
        <f t="shared" si="23"/>
        <v>24227.252</v>
      </c>
      <c r="H79" s="144">
        <f t="shared" si="23"/>
        <v>145000</v>
      </c>
      <c r="I79" s="112">
        <f t="shared" si="22"/>
        <v>0.18424396442185514</v>
      </c>
    </row>
    <row r="80" spans="2:9" x14ac:dyDescent="0.2">
      <c r="B80" s="31">
        <v>26401000</v>
      </c>
      <c r="C80" s="3" t="str">
        <f>'ن-فرعي'!C312:K312</f>
        <v>آليات ومركبات مختلفة</v>
      </c>
      <c r="D80" s="16">
        <f>IF('ن-فرعي'!F315&gt;0,'ن-فرعي'!F315,"")</f>
        <v>25000</v>
      </c>
      <c r="E80" s="16">
        <f>IF('ن-فرعي'!G315&gt;0,'ن-فرعي'!G315,"")</f>
        <v>25000</v>
      </c>
      <c r="F80" s="16" t="str">
        <f>IF('ن-فرعي'!H315&gt;0,'ن-فرعي'!H315,"")</f>
        <v/>
      </c>
      <c r="G80" s="16" t="str">
        <f>IF('ن-فرعي'!I315&gt;0,'ن-فرعي'!I315,"")</f>
        <v/>
      </c>
      <c r="H80" s="137">
        <f>IF('ن-فرعي'!J315&gt;0,'ن-فرعي'!J315,"")</f>
        <v>65000</v>
      </c>
      <c r="I80" s="112">
        <f t="shared" si="22"/>
        <v>2.6</v>
      </c>
    </row>
    <row r="81" spans="2:9" x14ac:dyDescent="0.2">
      <c r="B81" s="31">
        <v>26402000</v>
      </c>
      <c r="C81" s="3" t="str">
        <f>'ن-فرعي'!C316:K316</f>
        <v xml:space="preserve">أجهزة ومعدات خاصة </v>
      </c>
      <c r="D81" s="16">
        <f>IF('ن-فرعي'!F323&gt;0,'ن-فرعي'!F323,"")</f>
        <v>137000</v>
      </c>
      <c r="E81" s="16">
        <f>IF('ن-فرعي'!G323&gt;0,'ن-فرعي'!G323,"")</f>
        <v>137000</v>
      </c>
      <c r="F81" s="16">
        <f>IF('ن-فرعي'!H323&gt;0,'ن-فرعي'!H323,"")</f>
        <v>1098</v>
      </c>
      <c r="G81" s="16">
        <f>IF('ن-فرعي'!I323&gt;0,'ن-فرعي'!I323,"")</f>
        <v>1807</v>
      </c>
      <c r="H81" s="137">
        <f>IF('ن-فرعي'!J323&gt;0,'ن-فرعي'!J323,"")</f>
        <v>85000</v>
      </c>
      <c r="I81" s="112">
        <f t="shared" si="22"/>
        <v>0.62043795620437958</v>
      </c>
    </row>
    <row r="82" spans="2:9" x14ac:dyDescent="0.2">
      <c r="B82" s="31">
        <v>26404000</v>
      </c>
      <c r="C82" s="3" t="str">
        <f>'ن-فرعي'!C324:K324</f>
        <v>مواد أولية</v>
      </c>
      <c r="D82" s="16">
        <f>IF('ن-فرعي'!F327&gt;0,'ن-فرعي'!F327,"")</f>
        <v>55000</v>
      </c>
      <c r="E82" s="16">
        <f>IF('ن-فرعي'!G327&gt;0,'ن-فرعي'!G327,"")</f>
        <v>55000</v>
      </c>
      <c r="F82" s="16">
        <f>IF('ن-فرعي'!H327&gt;0,'ن-فرعي'!H327,"")</f>
        <v>3451.2339999999999</v>
      </c>
      <c r="G82" s="16">
        <f>IF('ن-فرعي'!I327&gt;0,'ن-فرعي'!I327,"")</f>
        <v>2793.7660000000001</v>
      </c>
      <c r="H82" s="137">
        <f>IF('ن-فرعي'!J327&gt;0,'ن-فرعي'!J327,"")</f>
        <v>50000</v>
      </c>
      <c r="I82" s="112">
        <f t="shared" si="22"/>
        <v>0.90909090909090906</v>
      </c>
    </row>
    <row r="83" spans="2:9" x14ac:dyDescent="0.2">
      <c r="B83" s="438" t="str">
        <f>'ن-فرعي'!B328:E328</f>
        <v xml:space="preserve">مجموع الفصل الثالث: الآليات والأجهزة والمعدات </v>
      </c>
      <c r="C83" s="439"/>
      <c r="D83" s="144">
        <f t="shared" ref="D83:H83" si="24">SUM(D80:D82)</f>
        <v>217000</v>
      </c>
      <c r="E83" s="144">
        <f t="shared" si="24"/>
        <v>217000</v>
      </c>
      <c r="F83" s="144">
        <f t="shared" si="24"/>
        <v>4549.2340000000004</v>
      </c>
      <c r="G83" s="144">
        <f t="shared" si="24"/>
        <v>4600.7659999999996</v>
      </c>
      <c r="H83" s="144">
        <f t="shared" si="24"/>
        <v>200000</v>
      </c>
      <c r="I83" s="112">
        <f t="shared" si="22"/>
        <v>0.92165898617511521</v>
      </c>
    </row>
    <row r="84" spans="2:9" x14ac:dyDescent="0.2">
      <c r="B84" s="31">
        <v>26501000</v>
      </c>
      <c r="C84" s="3" t="str">
        <f>'ن-فرعي'!C330:K330</f>
        <v>الأبنية</v>
      </c>
      <c r="D84" s="16">
        <f>IF('ن-فرعي'!F333&gt;0,'ن-فرعي'!F333,"")</f>
        <v>850000</v>
      </c>
      <c r="E84" s="16">
        <f>IF('ن-فرعي'!G333&gt;0,'ن-فرعي'!G333,"")</f>
        <v>850000</v>
      </c>
      <c r="F84" s="16">
        <f>IF('ن-فرعي'!H333&gt;0,'ن-فرعي'!H333,"")</f>
        <v>415849.48</v>
      </c>
      <c r="G84" s="16">
        <f>IF('ن-فرعي'!I333&gt;0,'ن-فرعي'!I333,"")</f>
        <v>127149.469</v>
      </c>
      <c r="H84" s="137">
        <f>IF('ن-فرعي'!J333&gt;0,'ن-فرعي'!J333,"")</f>
        <v>300000</v>
      </c>
      <c r="I84" s="112">
        <f t="shared" si="22"/>
        <v>0.35294117647058826</v>
      </c>
    </row>
    <row r="85" spans="2:9" s="46" customFormat="1" x14ac:dyDescent="0.2">
      <c r="B85" s="31">
        <v>26505000</v>
      </c>
      <c r="C85" s="3" t="str">
        <f>'ن-فرعي'!C334:K334</f>
        <v>إعداد المخططات الأولية</v>
      </c>
      <c r="D85" s="16">
        <f>IF('ن-فرعي'!F336&gt;0,'ن-فرعي'!F336,"")</f>
        <v>10000</v>
      </c>
      <c r="E85" s="16">
        <f>IF('ن-فرعي'!G336&gt;0,'ن-فرعي'!G336,"")</f>
        <v>10000</v>
      </c>
      <c r="F85" s="16">
        <f>IF('ن-فرعي'!H336&gt;0,'ن-فرعي'!H336,"")</f>
        <v>220</v>
      </c>
      <c r="G85" s="16" t="str">
        <f>IF('ن-فرعي'!I336&gt;0,'ن-فرعي'!I336,"")</f>
        <v/>
      </c>
      <c r="H85" s="137">
        <f>IF('ن-فرعي'!J336&gt;0,'ن-فرعي'!J336,"")</f>
        <v>15000</v>
      </c>
      <c r="I85" s="112">
        <f t="shared" si="22"/>
        <v>1.5</v>
      </c>
    </row>
    <row r="86" spans="2:9" x14ac:dyDescent="0.2">
      <c r="B86" s="454" t="str">
        <f>'ن-فرعي'!B337:E337</f>
        <v>مجموع الفصل الرابع: الأبنية والمشاريع الإنمائية</v>
      </c>
      <c r="C86" s="455"/>
      <c r="D86" s="145">
        <f t="shared" ref="D86:H86" si="25">SUM(D84:D85)</f>
        <v>860000</v>
      </c>
      <c r="E86" s="145">
        <f t="shared" si="25"/>
        <v>860000</v>
      </c>
      <c r="F86" s="145">
        <f t="shared" si="25"/>
        <v>416069.48</v>
      </c>
      <c r="G86" s="145">
        <f t="shared" si="25"/>
        <v>127149.469</v>
      </c>
      <c r="H86" s="145">
        <f t="shared" si="25"/>
        <v>315000</v>
      </c>
      <c r="I86" s="114">
        <f t="shared" si="22"/>
        <v>0.36627906976744184</v>
      </c>
    </row>
    <row r="87" spans="2:9" x14ac:dyDescent="0.2">
      <c r="B87" s="31">
        <v>26601000</v>
      </c>
      <c r="C87" s="3" t="str">
        <f>'ن-فرعي'!C339:K339</f>
        <v>مشروع تطوير الملاعب الرياضية</v>
      </c>
      <c r="D87" s="16">
        <f>IF('ن-فرعي'!F342&gt;0,'ن-فرعي'!F342,"")</f>
        <v>60000</v>
      </c>
      <c r="E87" s="16">
        <f>IF('ن-فرعي'!G342&gt;0,'ن-فرعي'!G342,"")</f>
        <v>60000</v>
      </c>
      <c r="F87" s="16" t="str">
        <f>IF('ن-فرعي'!H342&gt;0,'ن-فرعي'!H342,"")</f>
        <v/>
      </c>
      <c r="G87" s="16" t="str">
        <f>IF('ن-فرعي'!I342&gt;0,'ن-فرعي'!I342,"")</f>
        <v/>
      </c>
      <c r="H87" s="137">
        <f>IF('ن-فرعي'!J342&gt;0,'ن-فرعي'!J342,"")</f>
        <v>50000</v>
      </c>
      <c r="I87" s="112">
        <f t="shared" si="22"/>
        <v>0.83333333333333337</v>
      </c>
    </row>
    <row r="88" spans="2:9" x14ac:dyDescent="0.2">
      <c r="B88" s="31">
        <v>26602000</v>
      </c>
      <c r="C88" s="3" t="str">
        <f>'ن-فرعي'!C343:K343</f>
        <v>المشاريع الزراعية وخطوط المياه</v>
      </c>
      <c r="D88" s="16">
        <f>IF('ن-فرعي'!F350&gt;0,'ن-فرعي'!F350,"")</f>
        <v>193000</v>
      </c>
      <c r="E88" s="16">
        <f>IF('ن-فرعي'!G350&gt;0,'ن-فرعي'!G350,"")</f>
        <v>193000</v>
      </c>
      <c r="F88" s="16">
        <f>IF('ن-فرعي'!H350&gt;0,'ن-فرعي'!H350,"")</f>
        <v>3750</v>
      </c>
      <c r="G88" s="16">
        <f>IF('ن-فرعي'!I350&gt;0,'ن-فرعي'!I350,"")</f>
        <v>3150</v>
      </c>
      <c r="H88" s="137">
        <f>IF('ن-فرعي'!J350&gt;0,'ن-فرعي'!J350,"")</f>
        <v>225000</v>
      </c>
      <c r="I88" s="112">
        <f t="shared" si="22"/>
        <v>1.1658031088082901</v>
      </c>
    </row>
    <row r="89" spans="2:9" x14ac:dyDescent="0.2">
      <c r="B89" s="31">
        <v>26603000</v>
      </c>
      <c r="C89" s="3" t="str">
        <f>'ن-فرعي'!C351:K351</f>
        <v>توسعة وتطوير البنية التحتية وتأهيل أبنية قائمة</v>
      </c>
      <c r="D89" s="16">
        <f>IF('ن-فرعي'!F353&gt;0,'ن-فرعي'!F353,"")</f>
        <v>50000</v>
      </c>
      <c r="E89" s="16">
        <f>IF('ن-فرعي'!G353&gt;0,'ن-فرعي'!G353,"")</f>
        <v>50000</v>
      </c>
      <c r="F89" s="16">
        <f>IF('ن-فرعي'!H353&gt;0,'ن-فرعي'!H353,"")</f>
        <v>3112.5</v>
      </c>
      <c r="G89" s="16">
        <f>IF('ن-فرعي'!I353&gt;0,'ن-فرعي'!I353,"")</f>
        <v>487.5</v>
      </c>
      <c r="H89" s="137">
        <f>IF('ن-فرعي'!J353&gt;0,'ن-فرعي'!J353,"")</f>
        <v>40000</v>
      </c>
      <c r="I89" s="112">
        <f t="shared" si="22"/>
        <v>0.8</v>
      </c>
    </row>
    <row r="90" spans="2:9" x14ac:dyDescent="0.2">
      <c r="B90" s="454" t="str">
        <f>'ن-فرعي'!B354:E354</f>
        <v>مجموع الفصل الخامس: الأشغال والمرافق العامة</v>
      </c>
      <c r="C90" s="455"/>
      <c r="D90" s="145">
        <f t="shared" ref="D90:H90" si="26">SUM(D87:D89)</f>
        <v>303000</v>
      </c>
      <c r="E90" s="145">
        <f t="shared" si="26"/>
        <v>303000</v>
      </c>
      <c r="F90" s="145">
        <f t="shared" si="26"/>
        <v>6862.5</v>
      </c>
      <c r="G90" s="145">
        <f t="shared" si="26"/>
        <v>3637.5</v>
      </c>
      <c r="H90" s="145">
        <f t="shared" si="26"/>
        <v>315000</v>
      </c>
      <c r="I90" s="114">
        <f t="shared" si="22"/>
        <v>1.0396039603960396</v>
      </c>
    </row>
    <row r="91" spans="2:9" x14ac:dyDescent="0.2">
      <c r="B91" s="31">
        <v>27001000</v>
      </c>
      <c r="C91" s="3" t="str">
        <f>'ن-فرعي'!C356:K356</f>
        <v>نفقات التزامات رأسمالية مدورة</v>
      </c>
      <c r="D91" s="16">
        <f>IF('ن-فرعي'!F358&gt;0,'ن-فرعي'!F358,"")</f>
        <v>1450000</v>
      </c>
      <c r="E91" s="16">
        <f>IF('ن-فرعي'!G358&gt;0,'ن-فرعي'!G358,"")</f>
        <v>1450000</v>
      </c>
      <c r="F91" s="16">
        <f>IF('ن-فرعي'!H358&gt;0,'ن-فرعي'!H358,"")</f>
        <v>430561.71399999998</v>
      </c>
      <c r="G91" s="16">
        <f>IF('ن-فرعي'!I358&gt;0,'ن-فرعي'!I358,"")</f>
        <v>578981.00300000003</v>
      </c>
      <c r="H91" s="137">
        <f>IF('ن-فرعي'!J358&gt;0,'ن-فرعي'!J358,"")</f>
        <v>884000</v>
      </c>
      <c r="I91" s="112">
        <f t="shared" si="22"/>
        <v>0.60965517241379308</v>
      </c>
    </row>
    <row r="92" spans="2:9" x14ac:dyDescent="0.2">
      <c r="B92" s="454" t="str">
        <f>'ن-فرعي'!B359:E359</f>
        <v>مجموع الفصل السادس: نفقات الالتزامات الرأسمالية المدورة</v>
      </c>
      <c r="C92" s="455"/>
      <c r="D92" s="145">
        <f>SUM(D91)</f>
        <v>1450000</v>
      </c>
      <c r="E92" s="145">
        <f t="shared" ref="E92:H92" si="27">SUM(E91)</f>
        <v>1450000</v>
      </c>
      <c r="F92" s="145">
        <f t="shared" si="27"/>
        <v>430561.71399999998</v>
      </c>
      <c r="G92" s="145">
        <f t="shared" si="27"/>
        <v>578981.00300000003</v>
      </c>
      <c r="H92" s="145">
        <f t="shared" si="27"/>
        <v>884000</v>
      </c>
      <c r="I92" s="114">
        <f t="shared" si="22"/>
        <v>0.60965517241379308</v>
      </c>
    </row>
    <row r="93" spans="2:9" x14ac:dyDescent="0.2">
      <c r="B93" s="458" t="str">
        <f>'ن-فرعي'!B360:E360</f>
        <v>مجموع الباب الرابع: النفقات الرأسمالية</v>
      </c>
      <c r="C93" s="459"/>
      <c r="D93" s="138">
        <f t="shared" ref="D93:H93" si="28">D75+D79+D83+D86+D90+D92</f>
        <v>3838000</v>
      </c>
      <c r="E93" s="138">
        <f t="shared" si="28"/>
        <v>3838000</v>
      </c>
      <c r="F93" s="138">
        <f t="shared" si="28"/>
        <v>866403.81400000001</v>
      </c>
      <c r="G93" s="138">
        <f t="shared" si="28"/>
        <v>786795.99</v>
      </c>
      <c r="H93" s="138">
        <f t="shared" si="28"/>
        <v>2193500</v>
      </c>
      <c r="I93" s="112">
        <f t="shared" si="22"/>
        <v>0.57152162584679522</v>
      </c>
    </row>
    <row r="94" spans="2:9" x14ac:dyDescent="0.2">
      <c r="B94" s="456" t="str">
        <f>'ن-فرعي'!B361:E361</f>
        <v>المجموع العام للموازنة</v>
      </c>
      <c r="C94" s="457"/>
      <c r="D94" s="192">
        <f t="shared" ref="D94:H94" si="29">D50+D68+D72+D93</f>
        <v>36380000</v>
      </c>
      <c r="E94" s="192">
        <f t="shared" si="29"/>
        <v>37162000</v>
      </c>
      <c r="F94" s="192">
        <f t="shared" si="29"/>
        <v>30655530.927999999</v>
      </c>
      <c r="G94" s="192">
        <f t="shared" si="29"/>
        <v>2310354.9509999999</v>
      </c>
      <c r="H94" s="192">
        <f t="shared" si="29"/>
        <v>35724000</v>
      </c>
      <c r="I94" s="112">
        <f t="shared" si="22"/>
        <v>0.98196811434854314</v>
      </c>
    </row>
    <row r="95" spans="2:9" s="15" customFormat="1" x14ac:dyDescent="0.2">
      <c r="B95" s="413"/>
      <c r="C95" s="414"/>
      <c r="D95" s="414"/>
      <c r="E95" s="414"/>
      <c r="F95" s="414"/>
      <c r="G95" s="414"/>
      <c r="H95" s="414"/>
      <c r="I95" s="415"/>
    </row>
    <row r="96" spans="2:9" s="46" customFormat="1" x14ac:dyDescent="0.2">
      <c r="B96" s="430" t="s">
        <v>599</v>
      </c>
      <c r="C96" s="431"/>
      <c r="D96" s="419">
        <v>2019</v>
      </c>
      <c r="E96" s="419"/>
      <c r="F96" s="419"/>
      <c r="G96" s="419"/>
      <c r="H96" s="420">
        <v>2020</v>
      </c>
      <c r="I96" s="421"/>
    </row>
    <row r="97" spans="2:9" x14ac:dyDescent="0.2">
      <c r="B97" s="31"/>
      <c r="C97" s="3" t="str">
        <f>'ن-فرعي'!E367</f>
        <v>تسديد قرض صندوق الادخار/جامعة آل البيت (المستحق)</v>
      </c>
      <c r="D97" s="248">
        <f>IF('ن-فرعي'!F367&gt;0,'ن-فرعي'!F367,"")</f>
        <v>2000000</v>
      </c>
      <c r="E97" s="248">
        <f>IF('ن-فرعي'!G367&gt;0,'ن-فرعي'!G367,"")</f>
        <v>795000</v>
      </c>
      <c r="F97" s="248">
        <f>IF('ن-فرعي'!H367&gt;0,'ن-فرعي'!H367,"")</f>
        <v>50000</v>
      </c>
      <c r="G97" s="248" t="str">
        <f>IF('ن-فرعي'!I367&gt;0,'ن-فرعي'!I367,"")</f>
        <v/>
      </c>
      <c r="H97" s="137">
        <f>IF('ن-فرعي'!J367&gt;0,'ن-فرعي'!J367,"")</f>
        <v>1900000</v>
      </c>
      <c r="I97" s="112">
        <f>IFERROR(H97/D97,"")</f>
        <v>0.95</v>
      </c>
    </row>
    <row r="98" spans="2:9" s="46" customFormat="1" x14ac:dyDescent="0.2">
      <c r="B98" s="31"/>
      <c r="C98" s="3" t="str">
        <f>'ن-فرعي'!E368</f>
        <v>تسديد قرض بنك القاهرة عمان/ سلفة البنك المركزي للجامعات الحكومية 2 مليون دينار</v>
      </c>
      <c r="D98" s="248" t="str">
        <f>IF('ن-فرعي'!F368&gt;0,'ن-فرعي'!F368,"")</f>
        <v/>
      </c>
      <c r="E98" s="248" t="str">
        <f>IF('ن-فرعي'!G368&gt;0,'ن-فرعي'!G368,"")</f>
        <v/>
      </c>
      <c r="F98" s="248" t="str">
        <f>IF('ن-فرعي'!H368&gt;0,'ن-فرعي'!H368,"")</f>
        <v/>
      </c>
      <c r="G98" s="248" t="str">
        <f>IF('ن-فرعي'!I368&gt;0,'ن-فرعي'!I368,"")</f>
        <v/>
      </c>
      <c r="H98" s="137" t="str">
        <f>IF('ن-فرعي'!J368&gt;0,'ن-فرعي'!J368,"")</f>
        <v/>
      </c>
      <c r="I98" s="112" t="str">
        <f t="shared" ref="I98:I101" si="30">IFERROR(H98/D98,"")</f>
        <v/>
      </c>
    </row>
    <row r="99" spans="2:9" s="46" customFormat="1" x14ac:dyDescent="0.2">
      <c r="B99" s="31"/>
      <c r="C99" s="3" t="str">
        <f>'ن-فرعي'!E369</f>
        <v>تسديد سلفة وزارة المالية</v>
      </c>
      <c r="D99" s="248" t="str">
        <f>IF('ن-فرعي'!F369&gt;0,'ن-فرعي'!F369,"")</f>
        <v/>
      </c>
      <c r="E99" s="248" t="str">
        <f>IF('ن-فرعي'!G369&gt;0,'ن-فرعي'!G369,"")</f>
        <v/>
      </c>
      <c r="F99" s="248" t="str">
        <f>IF('ن-فرعي'!H369&gt;0,'ن-فرعي'!H369,"")</f>
        <v/>
      </c>
      <c r="G99" s="248" t="str">
        <f>IF('ن-فرعي'!I369&gt;0,'ن-فرعي'!I369,"")</f>
        <v/>
      </c>
      <c r="H99" s="137">
        <f>IF('ن-فرعي'!J369&gt;0,'ن-فرعي'!J369,"")</f>
        <v>500000</v>
      </c>
      <c r="I99" s="112" t="str">
        <f t="shared" si="30"/>
        <v/>
      </c>
    </row>
    <row r="100" spans="2:9" s="46" customFormat="1" x14ac:dyDescent="0.2">
      <c r="B100" s="31"/>
      <c r="C100" s="3" t="str">
        <f>'ن-فرعي'!E370</f>
        <v>تسديد عجز موازنة السنة المالية  الحالية</v>
      </c>
      <c r="D100" s="248" t="str">
        <f>IF('ن-فرعي'!F370&gt;0,'ن-فرعي'!F370,"")</f>
        <v/>
      </c>
      <c r="E100" s="248" t="str">
        <f>IF('ن-فرعي'!G370&gt;0,'ن-فرعي'!G370,"")</f>
        <v/>
      </c>
      <c r="F100" s="248" t="str">
        <f>IF('ن-فرعي'!H370&gt;0,'ن-فرعي'!H370,"")</f>
        <v/>
      </c>
      <c r="G100" s="248" t="str">
        <f>IF('ن-فرعي'!I370&gt;0,'ن-فرعي'!I370,"")</f>
        <v/>
      </c>
      <c r="H100" s="137">
        <f>IF('ن-فرعي'!J370&gt;0,'ن-فرعي'!J370,"")</f>
        <v>5314000</v>
      </c>
      <c r="I100" s="112" t="str">
        <f t="shared" si="30"/>
        <v/>
      </c>
    </row>
    <row r="101" spans="2:9" s="46" customFormat="1" x14ac:dyDescent="0.2">
      <c r="B101" s="31"/>
      <c r="C101" s="3" t="str">
        <f>'ن-فرعي'!E371</f>
        <v>تسديد ذمة عجز موازنة التمويل المتراكم</v>
      </c>
      <c r="D101" s="248">
        <f>IF('ن-فرعي'!F371&gt;0,'ن-فرعي'!F371,"")</f>
        <v>14000000</v>
      </c>
      <c r="E101" s="248">
        <f>IF('ن-فرعي'!G371&gt;0,'ن-فرعي'!G371,"")</f>
        <v>14000000</v>
      </c>
      <c r="F101" s="248">
        <f>IF('ن-فرعي'!H371&gt;0,'ن-فرعي'!H371,"")</f>
        <v>13740592.323000001</v>
      </c>
      <c r="G101" s="248" t="str">
        <f>IF('ن-فرعي'!I371&gt;0,'ن-فرعي'!I371,"")</f>
        <v/>
      </c>
      <c r="H101" s="137">
        <f>IF('ن-فرعي'!J371&gt;0,'ن-فرعي'!J371,"")</f>
        <v>15376000</v>
      </c>
      <c r="I101" s="112">
        <f t="shared" si="30"/>
        <v>1.0982857142857143</v>
      </c>
    </row>
    <row r="102" spans="2:9" x14ac:dyDescent="0.2">
      <c r="B102" s="454" t="str">
        <f>'ن-فرعي'!B372:E372</f>
        <v>مجموع تسديد عجز الموازنة الحالي وذمة عجز موازنة التمويل المتراكم والقروض المستحقة</v>
      </c>
      <c r="C102" s="455"/>
      <c r="D102" s="145">
        <f>SUM(D97:D101)</f>
        <v>16000000</v>
      </c>
      <c r="E102" s="145">
        <f t="shared" ref="E102:H102" si="31">SUM(E97:E101)</f>
        <v>14795000</v>
      </c>
      <c r="F102" s="145">
        <f t="shared" si="31"/>
        <v>13790592.323000001</v>
      </c>
      <c r="G102" s="145">
        <f t="shared" si="31"/>
        <v>0</v>
      </c>
      <c r="H102" s="145">
        <f t="shared" si="31"/>
        <v>23090000</v>
      </c>
      <c r="I102" s="112">
        <f>IFERROR(H102/D102,"")</f>
        <v>1.443125</v>
      </c>
    </row>
    <row r="103" spans="2:9" x14ac:dyDescent="0.2">
      <c r="B103" s="460" t="s">
        <v>608</v>
      </c>
      <c r="C103" s="461"/>
      <c r="D103" s="153">
        <f>SUM(D102)</f>
        <v>16000000</v>
      </c>
      <c r="E103" s="153">
        <f t="shared" ref="E103:H103" si="32">SUM(E102)</f>
        <v>14795000</v>
      </c>
      <c r="F103" s="153">
        <f t="shared" si="32"/>
        <v>13790592.323000001</v>
      </c>
      <c r="G103" s="153">
        <f t="shared" si="32"/>
        <v>0</v>
      </c>
      <c r="H103" s="153">
        <f t="shared" si="32"/>
        <v>23090000</v>
      </c>
      <c r="I103" s="112">
        <f>IFERROR(H103/D103,"")</f>
        <v>1.443125</v>
      </c>
    </row>
    <row r="104" spans="2:9" s="70" customFormat="1" x14ac:dyDescent="0.2">
      <c r="B104" s="410"/>
      <c r="C104" s="411"/>
      <c r="D104" s="411"/>
      <c r="E104" s="411"/>
      <c r="F104" s="411"/>
      <c r="G104" s="411"/>
      <c r="H104" s="411"/>
      <c r="I104" s="412"/>
    </row>
    <row r="105" spans="2:9" x14ac:dyDescent="0.2">
      <c r="B105" s="430" t="s">
        <v>611</v>
      </c>
      <c r="C105" s="431"/>
      <c r="D105" s="419">
        <v>2019</v>
      </c>
      <c r="E105" s="419"/>
      <c r="F105" s="419"/>
      <c r="G105" s="419"/>
      <c r="H105" s="420">
        <v>2020</v>
      </c>
      <c r="I105" s="421"/>
    </row>
    <row r="106" spans="2:9" x14ac:dyDescent="0.2">
      <c r="B106" s="31">
        <v>29301000</v>
      </c>
      <c r="C106" s="3" t="str">
        <f>'ن-فرعي'!C378:K378</f>
        <v>مشاريع مشروطة بالتمويل</v>
      </c>
      <c r="D106" s="16">
        <f>IF('ن-فرعي'!F389&gt;0,'ن-فرعي'!F389,"")</f>
        <v>7800000</v>
      </c>
      <c r="E106" s="16">
        <f>IF('ن-فرعي'!G389&gt;0,'ن-فرعي'!G389,"")</f>
        <v>7800000</v>
      </c>
      <c r="F106" s="16">
        <f>IF('ن-فرعي'!H389&gt;0,'ن-فرعي'!H389,"")</f>
        <v>1605202.264</v>
      </c>
      <c r="G106" s="16">
        <f>IF('ن-فرعي'!I389&gt;0,'ن-فرعي'!I389,"")</f>
        <v>435635.56599999999</v>
      </c>
      <c r="H106" s="137">
        <f>IF('ن-فرعي'!J389&gt;0,'ن-فرعي'!J389,"")</f>
        <v>6655000</v>
      </c>
      <c r="I106" s="112">
        <f t="shared" ref="I106:I111" si="33">IFERROR(H106/D106,"")</f>
        <v>0.85320512820512817</v>
      </c>
    </row>
    <row r="107" spans="2:9" x14ac:dyDescent="0.2">
      <c r="B107" s="31">
        <v>29302000</v>
      </c>
      <c r="C107" s="3" t="str">
        <f>'ن-فرعي'!C390:K390</f>
        <v>أجهزة وتجهيزات مشروطة بالتمويل</v>
      </c>
      <c r="D107" s="16">
        <f>IF('ن-فرعي'!F400&gt;0,'ن-فرعي'!F400,"")</f>
        <v>2700000</v>
      </c>
      <c r="E107" s="16">
        <f>IF('ن-فرعي'!G400&gt;0,'ن-فرعي'!G400,"")</f>
        <v>2700000</v>
      </c>
      <c r="F107" s="16">
        <f>IF('ن-فرعي'!H400&gt;0,'ن-فرعي'!H400,"")</f>
        <v>14528.2</v>
      </c>
      <c r="G107" s="16">
        <f>IF('ن-فرعي'!I400&gt;0,'ن-فرعي'!I400,"")</f>
        <v>39801</v>
      </c>
      <c r="H107" s="137">
        <f>IF('ن-فرعي'!J400&gt;0,'ن-فرعي'!J400,"")</f>
        <v>1845000</v>
      </c>
      <c r="I107" s="112">
        <f t="shared" si="33"/>
        <v>0.68333333333333335</v>
      </c>
    </row>
    <row r="108" spans="2:9" x14ac:dyDescent="0.2">
      <c r="B108" s="438" t="s">
        <v>630</v>
      </c>
      <c r="C108" s="439"/>
      <c r="D108" s="144">
        <f>SUM(D106:D107)</f>
        <v>10500000</v>
      </c>
      <c r="E108" s="144">
        <f t="shared" ref="E108:H108" si="34">SUM(E106:E107)</f>
        <v>10500000</v>
      </c>
      <c r="F108" s="144">
        <f t="shared" si="34"/>
        <v>1619730.4639999999</v>
      </c>
      <c r="G108" s="144">
        <f t="shared" si="34"/>
        <v>475436.56599999999</v>
      </c>
      <c r="H108" s="144">
        <f t="shared" si="34"/>
        <v>8500000</v>
      </c>
      <c r="I108" s="112">
        <f t="shared" si="33"/>
        <v>0.80952380952380953</v>
      </c>
    </row>
    <row r="109" spans="2:9" x14ac:dyDescent="0.2">
      <c r="B109" s="31"/>
      <c r="C109" s="3" t="str">
        <f>'ن-فرعي'!C403:K403</f>
        <v>مساهمة الجامعة في الرسوم الجامعية / جهات الإيفاد التي تتحمل نفقاتها الجامعة</v>
      </c>
      <c r="D109" s="16">
        <f>IF('ن-فرعي'!F413&gt;0,'ن-فرعي'!F413,"")</f>
        <v>1120000</v>
      </c>
      <c r="E109" s="16">
        <f>IF('ن-فرعي'!G413&gt;0,'ن-فرعي'!G413,"")</f>
        <v>1543000</v>
      </c>
      <c r="F109" s="16">
        <f>IF('ن-فرعي'!H413&gt;0,'ن-فرعي'!H413,"")</f>
        <v>1503386.7000000002</v>
      </c>
      <c r="G109" s="16" t="str">
        <f>IF('ن-فرعي'!I413&gt;0,'ن-فرعي'!I413,"")</f>
        <v/>
      </c>
      <c r="H109" s="137">
        <f>IF('ن-فرعي'!J413&gt;0,'ن-فرعي'!J413,"")</f>
        <v>1500000</v>
      </c>
      <c r="I109" s="112">
        <f t="shared" si="33"/>
        <v>1.3392857142857142</v>
      </c>
    </row>
    <row r="110" spans="2:9" s="46" customFormat="1" x14ac:dyDescent="0.2">
      <c r="B110" s="432" t="s">
        <v>624</v>
      </c>
      <c r="C110" s="433"/>
      <c r="D110" s="144">
        <f>SUM(D109)</f>
        <v>1120000</v>
      </c>
      <c r="E110" s="144">
        <f t="shared" ref="E110:H110" si="35">SUM(E109)</f>
        <v>1543000</v>
      </c>
      <c r="F110" s="144">
        <f t="shared" si="35"/>
        <v>1503386.7000000002</v>
      </c>
      <c r="G110" s="144">
        <f t="shared" si="35"/>
        <v>0</v>
      </c>
      <c r="H110" s="144">
        <f t="shared" si="35"/>
        <v>1500000</v>
      </c>
      <c r="I110" s="112">
        <f t="shared" si="33"/>
        <v>1.3392857142857142</v>
      </c>
    </row>
    <row r="111" spans="2:9" ht="15" thickBot="1" x14ac:dyDescent="0.25">
      <c r="B111" s="434" t="s">
        <v>658</v>
      </c>
      <c r="C111" s="435"/>
      <c r="D111" s="261">
        <f>D108+D110</f>
        <v>11620000</v>
      </c>
      <c r="E111" s="261">
        <f t="shared" ref="E111:H111" si="36">E108+E110</f>
        <v>12043000</v>
      </c>
      <c r="F111" s="261">
        <f t="shared" si="36"/>
        <v>3123117.1639999999</v>
      </c>
      <c r="G111" s="261">
        <f t="shared" si="36"/>
        <v>475436.56599999999</v>
      </c>
      <c r="H111" s="261">
        <f t="shared" si="36"/>
        <v>10000000</v>
      </c>
      <c r="I111" s="196">
        <f t="shared" si="33"/>
        <v>0.86058519793459554</v>
      </c>
    </row>
    <row r="113" spans="4:8" x14ac:dyDescent="0.2">
      <c r="D113" s="253">
        <f>D94+D103+D111</f>
        <v>64000000</v>
      </c>
      <c r="E113" s="253">
        <f>E94+E103+E111</f>
        <v>64000000</v>
      </c>
      <c r="F113" s="253">
        <f>F94+F103+F111</f>
        <v>47569240.414999999</v>
      </c>
      <c r="G113" s="253">
        <f>G94+G103+G111</f>
        <v>2785791.517</v>
      </c>
      <c r="H113" s="253">
        <f>H94+H103+H111</f>
        <v>68814000</v>
      </c>
    </row>
    <row r="114" spans="4:8" x14ac:dyDescent="0.2">
      <c r="D114" s="253">
        <f>'ن-مواد'!D276-'ن-فصل'!D113</f>
        <v>0</v>
      </c>
      <c r="E114" s="253">
        <f>'ن-مواد'!E276-'ن-فصل'!E113</f>
        <v>0</v>
      </c>
      <c r="F114" s="253">
        <f>'ن-مواد'!F276-'ن-فصل'!F113</f>
        <v>0</v>
      </c>
      <c r="G114" s="253">
        <f>'ن-مواد'!G276-'ن-فصل'!G113</f>
        <v>0</v>
      </c>
      <c r="H114" s="253">
        <f>'ن-مواد'!H276-'ن-فصل'!H113</f>
        <v>0</v>
      </c>
    </row>
  </sheetData>
  <mergeCells count="46">
    <mergeCell ref="B111:C111"/>
    <mergeCell ref="B2:B3"/>
    <mergeCell ref="B1:I1"/>
    <mergeCell ref="B47:C47"/>
    <mergeCell ref="B61:C61"/>
    <mergeCell ref="B14:C14"/>
    <mergeCell ref="B103:C103"/>
    <mergeCell ref="B72:C72"/>
    <mergeCell ref="B68:C68"/>
    <mergeCell ref="B50:C50"/>
    <mergeCell ref="B49:C49"/>
    <mergeCell ref="B45:C45"/>
    <mergeCell ref="B39:C39"/>
    <mergeCell ref="B31:C31"/>
    <mergeCell ref="B22:C22"/>
    <mergeCell ref="B95:I95"/>
    <mergeCell ref="H3:I3"/>
    <mergeCell ref="D3:G3"/>
    <mergeCell ref="B93:C93"/>
    <mergeCell ref="B92:C92"/>
    <mergeCell ref="B75:C75"/>
    <mergeCell ref="B71:C71"/>
    <mergeCell ref="B67:C67"/>
    <mergeCell ref="B43:C43"/>
    <mergeCell ref="B55:C55"/>
    <mergeCell ref="B53:C53"/>
    <mergeCell ref="B8:C8"/>
    <mergeCell ref="C2:C3"/>
    <mergeCell ref="B83:C83"/>
    <mergeCell ref="B79:C79"/>
    <mergeCell ref="B90:C90"/>
    <mergeCell ref="B86:C86"/>
    <mergeCell ref="D105:G105"/>
    <mergeCell ref="H105:I105"/>
    <mergeCell ref="B105:C105"/>
    <mergeCell ref="B108:C108"/>
    <mergeCell ref="B110:C110"/>
    <mergeCell ref="B102:C102"/>
    <mergeCell ref="B65:C65"/>
    <mergeCell ref="B59:C59"/>
    <mergeCell ref="B57:C57"/>
    <mergeCell ref="B104:I104"/>
    <mergeCell ref="B96:C96"/>
    <mergeCell ref="D96:G96"/>
    <mergeCell ref="H96:I96"/>
    <mergeCell ref="B94:C94"/>
  </mergeCells>
  <conditionalFormatting sqref="B1:I111">
    <cfRule type="containsBlanks" dxfId="34" priority="1">
      <formula>LEN(TRIM(B1))=0</formula>
    </cfRule>
  </conditionalFormatting>
  <pageMargins left="0.15748031496062992" right="0.23622047244094491" top="1.0236220472440944" bottom="0.86614173228346458" header="0" footer="0.62992125984251968"/>
  <pageSetup paperSize="9" scale="80" orientation="portrait" r:id="rId1"/>
  <headerFooter>
    <oddFooter xml:space="preserve">&amp;C&amp;P+4&amp;R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62"/>
  <sheetViews>
    <sheetView rightToLeft="1" zoomScaleNormal="100" workbookViewId="0">
      <pane ySplit="3" topLeftCell="A146" activePane="bottomLeft" state="frozen"/>
      <selection activeCell="B16" sqref="B16:J18"/>
      <selection pane="bottomLeft" activeCell="B75" sqref="B75:B76"/>
    </sheetView>
  </sheetViews>
  <sheetFormatPr defaultRowHeight="14.25" x14ac:dyDescent="0.2"/>
  <cols>
    <col min="1" max="1" width="1.625" customWidth="1"/>
    <col min="2" max="2" width="9" style="2" bestFit="1" customWidth="1"/>
    <col min="3" max="3" width="51.125" style="2" bestFit="1" customWidth="1"/>
    <col min="4" max="6" width="7.625" style="2" bestFit="1" customWidth="1"/>
    <col min="7" max="7" width="5.375" style="208" bestFit="1" customWidth="1"/>
    <col min="9" max="9" width="9.875" bestFit="1" customWidth="1"/>
  </cols>
  <sheetData>
    <row r="1" spans="2:7" s="197" customFormat="1" ht="15.75" x14ac:dyDescent="0.2">
      <c r="B1" s="429" t="s">
        <v>668</v>
      </c>
      <c r="C1" s="423"/>
      <c r="D1" s="423"/>
      <c r="E1" s="423"/>
      <c r="F1" s="423"/>
      <c r="G1" s="424"/>
    </row>
    <row r="2" spans="2:7" s="197" customFormat="1" ht="12.75" x14ac:dyDescent="0.2">
      <c r="B2" s="471" t="s">
        <v>339</v>
      </c>
      <c r="C2" s="467" t="s">
        <v>340</v>
      </c>
      <c r="D2" s="302" t="s">
        <v>603</v>
      </c>
      <c r="E2" s="292" t="s">
        <v>605</v>
      </c>
      <c r="F2" s="302" t="s">
        <v>603</v>
      </c>
      <c r="G2" s="303" t="s">
        <v>651</v>
      </c>
    </row>
    <row r="3" spans="2:7" s="197" customFormat="1" ht="12.75" x14ac:dyDescent="0.2">
      <c r="B3" s="471"/>
      <c r="C3" s="467"/>
      <c r="D3" s="419">
        <v>2019</v>
      </c>
      <c r="E3" s="419"/>
      <c r="F3" s="420">
        <v>2020</v>
      </c>
      <c r="G3" s="421"/>
    </row>
    <row r="4" spans="2:7" x14ac:dyDescent="0.2">
      <c r="B4" s="425" t="str">
        <f>'ر-فرعي'!B4:I4</f>
        <v>الباب الأول: الرسوم الجامعية</v>
      </c>
      <c r="C4" s="426"/>
      <c r="D4" s="426"/>
      <c r="E4" s="426"/>
      <c r="F4" s="426"/>
      <c r="G4" s="427"/>
    </row>
    <row r="5" spans="2:7" x14ac:dyDescent="0.2">
      <c r="B5" s="462" t="str">
        <f>'ر-فرعي'!B5:I5</f>
        <v>الفصل الأول: الرسوم الجامعية</v>
      </c>
      <c r="C5" s="463"/>
      <c r="D5" s="463"/>
      <c r="E5" s="463"/>
      <c r="F5" s="463"/>
      <c r="G5" s="464"/>
    </row>
    <row r="6" spans="2:7" x14ac:dyDescent="0.2">
      <c r="B6" s="30">
        <f>IF('ر-فرعي'!D7&gt;0,'ر-فرعي'!D7,"")</f>
        <v>10102001</v>
      </c>
      <c r="C6" s="18" t="str">
        <f>IF('ر-فرعي'!E7&gt;0,'ر-فرعي'!E7,"")</f>
        <v>رسوم الساعات المعتمدة/العادي</v>
      </c>
      <c r="D6" s="16">
        <f>IF('ر-فرعي'!F7&gt;0,'ر-فرعي'!F7,"")</f>
        <v>5745000</v>
      </c>
      <c r="E6" s="16">
        <f>IF('ر-فرعي'!G7&gt;0,'ر-فرعي'!G7,"")</f>
        <v>7213826.5920000002</v>
      </c>
      <c r="F6" s="147">
        <f>IF('ر-فرعي'!H7&gt;0,'ر-فرعي'!H7,"")</f>
        <v>7300000</v>
      </c>
      <c r="G6" s="112">
        <f t="shared" ref="G6:G51" si="0">IFERROR(F6/D6,"")</f>
        <v>1.2706701479547433</v>
      </c>
    </row>
    <row r="7" spans="2:7" x14ac:dyDescent="0.2">
      <c r="B7" s="30">
        <f>IF('ر-فرعي'!D8&gt;0,'ر-فرعي'!D8,"")</f>
        <v>10102002</v>
      </c>
      <c r="C7" s="18" t="str">
        <f>IF('ر-فرعي'!E8&gt;0,'ر-فرعي'!E8,"")</f>
        <v>خدمات جامعية/ العادي</v>
      </c>
      <c r="D7" s="16">
        <f>IF('ر-فرعي'!F8&gt;0,'ر-فرعي'!F8,"")</f>
        <v>1000000</v>
      </c>
      <c r="E7" s="16">
        <f>IF('ر-فرعي'!G8&gt;0,'ر-فرعي'!G8,"")</f>
        <v>992435</v>
      </c>
      <c r="F7" s="147">
        <f>IF('ر-فرعي'!H8&gt;0,'ر-فرعي'!H8,"")</f>
        <v>1100000</v>
      </c>
      <c r="G7" s="112">
        <f t="shared" si="0"/>
        <v>1.1000000000000001</v>
      </c>
    </row>
    <row r="8" spans="2:7" x14ac:dyDescent="0.2">
      <c r="B8" s="30">
        <f>IF('ر-فرعي'!D9&gt;0,'ر-فرعي'!D9,"")</f>
        <v>10102004</v>
      </c>
      <c r="C8" s="18" t="str">
        <f>IF('ر-فرعي'!E9&gt;0,'ر-فرعي'!E9,"")</f>
        <v>رسوم القبول/ العادي</v>
      </c>
      <c r="D8" s="16">
        <f>IF('ر-فرعي'!F9&gt;0,'ر-فرعي'!F9,"")</f>
        <v>80000</v>
      </c>
      <c r="E8" s="16">
        <f>IF('ر-فرعي'!G9&gt;0,'ر-فرعي'!G9,"")</f>
        <v>64320</v>
      </c>
      <c r="F8" s="147">
        <f>IF('ر-فرعي'!H9&gt;0,'ر-فرعي'!H9,"")</f>
        <v>92000</v>
      </c>
      <c r="G8" s="112">
        <f t="shared" si="0"/>
        <v>1.1499999999999999</v>
      </c>
    </row>
    <row r="9" spans="2:7" x14ac:dyDescent="0.2">
      <c r="B9" s="30">
        <f>IF('ر-فرعي'!D10&gt;0,'ر-فرعي'!D10,"")</f>
        <v>10102005</v>
      </c>
      <c r="C9" s="18" t="str">
        <f>IF('ر-فرعي'!E10&gt;0,'ر-فرعي'!E10,"")</f>
        <v>رسوم طلبات الالتحاق/ العادي</v>
      </c>
      <c r="D9" s="16">
        <f>IF('ر-فرعي'!F10&gt;0,'ر-فرعي'!F10,"")</f>
        <v>8000</v>
      </c>
      <c r="E9" s="16">
        <f>IF('ر-فرعي'!G10&gt;0,'ر-فرعي'!G10,"")</f>
        <v>1795</v>
      </c>
      <c r="F9" s="147">
        <f>IF('ر-فرعي'!H10&gt;0,'ر-فرعي'!H10,"")</f>
        <v>4000</v>
      </c>
      <c r="G9" s="112">
        <f t="shared" si="0"/>
        <v>0.5</v>
      </c>
    </row>
    <row r="10" spans="2:7" x14ac:dyDescent="0.2">
      <c r="B10" s="30">
        <f>IF('ر-فرعي'!D11&gt;0,'ر-فرعي'!D11,"")</f>
        <v>10102006</v>
      </c>
      <c r="C10" s="18" t="str">
        <f>IF('ر-فرعي'!E11&gt;0,'ر-فرعي'!E11,"")</f>
        <v>رسوم اخرى ومتنوعة / العادي</v>
      </c>
      <c r="D10" s="16">
        <f>IF('ر-فرعي'!F11&gt;0,'ر-فرعي'!F11,"")</f>
        <v>350000</v>
      </c>
      <c r="E10" s="16">
        <f>IF('ر-فرعي'!G11&gt;0,'ر-فرعي'!G11,"")</f>
        <v>332582.95</v>
      </c>
      <c r="F10" s="147">
        <f>IF('ر-فرعي'!H11&gt;0,'ر-فرعي'!H11,"")</f>
        <v>400000</v>
      </c>
      <c r="G10" s="112">
        <f t="shared" si="0"/>
        <v>1.1428571428571428</v>
      </c>
    </row>
    <row r="11" spans="2:7" x14ac:dyDescent="0.2">
      <c r="B11" s="30">
        <f>IF('ر-فرعي'!D14&gt;0,'ر-فرعي'!D14,"")</f>
        <v>10103001</v>
      </c>
      <c r="C11" s="18" t="str">
        <f>IF('ر-فرعي'!E14&gt;0,'ر-فرعي'!E14,"")</f>
        <v>رسوم الساعات المعتمدة/ المسائي</v>
      </c>
      <c r="D11" s="16">
        <f>IF('ر-فرعي'!F14&gt;0,'ر-فرعي'!F14,"")</f>
        <v>500</v>
      </c>
      <c r="E11" s="16">
        <f>IF('ر-فرعي'!G14&gt;0,'ر-فرعي'!G14,"")</f>
        <v>300</v>
      </c>
      <c r="F11" s="147">
        <f>IF('ر-فرعي'!H14&gt;0,'ر-فرعي'!H14,"")</f>
        <v>500</v>
      </c>
      <c r="G11" s="112">
        <f t="shared" si="0"/>
        <v>1</v>
      </c>
    </row>
    <row r="12" spans="2:7" x14ac:dyDescent="0.2">
      <c r="B12" s="30">
        <f>IF('ر-فرعي'!D15&gt;0,'ر-فرعي'!D15,"")</f>
        <v>10103002</v>
      </c>
      <c r="C12" s="18" t="str">
        <f>IF('ر-فرعي'!E15&gt;0,'ر-فرعي'!E15,"")</f>
        <v>خدمات جامعية/ المسائي</v>
      </c>
      <c r="D12" s="16">
        <f>IF('ر-فرعي'!F15&gt;0,'ر-فرعي'!F15,"")</f>
        <v>50</v>
      </c>
      <c r="E12" s="16">
        <f>IF('ر-فرعي'!G15&gt;0,'ر-فرعي'!G15,"")</f>
        <v>29</v>
      </c>
      <c r="F12" s="147">
        <f>IF('ر-فرعي'!H15&gt;0,'ر-فرعي'!H15,"")</f>
        <v>50</v>
      </c>
      <c r="G12" s="112">
        <f t="shared" si="0"/>
        <v>1</v>
      </c>
    </row>
    <row r="13" spans="2:7" x14ac:dyDescent="0.2">
      <c r="B13" s="30">
        <f>IF('ر-فرعي'!D16&gt;0,'ر-فرعي'!D16,"")</f>
        <v>10103006</v>
      </c>
      <c r="C13" s="18" t="str">
        <f>IF('ر-فرعي'!E16&gt;0,'ر-فرعي'!E16,"")</f>
        <v>رسوم اخرى ومتنوعة / المسائي</v>
      </c>
      <c r="D13" s="16">
        <f>IF('ر-فرعي'!F16&gt;0,'ر-فرعي'!F16,"")</f>
        <v>900</v>
      </c>
      <c r="E13" s="16">
        <f>IF('ر-فرعي'!G16&gt;0,'ر-فرعي'!G16,"")</f>
        <v>1054</v>
      </c>
      <c r="F13" s="147">
        <f>IF('ر-فرعي'!H16&gt;0,'ر-فرعي'!H16,"")</f>
        <v>1000</v>
      </c>
      <c r="G13" s="112">
        <f t="shared" si="0"/>
        <v>1.1111111111111112</v>
      </c>
    </row>
    <row r="14" spans="2:7" x14ac:dyDescent="0.2">
      <c r="B14" s="30">
        <f>IF('ر-فرعي'!D19&gt;0,'ر-فرعي'!D19,"")</f>
        <v>10104001</v>
      </c>
      <c r="C14" s="18" t="str">
        <f>IF('ر-فرعي'!E19&gt;0,'ر-فرعي'!E19,"")</f>
        <v>رسوم الساعات المعتمدة/ الموازي</v>
      </c>
      <c r="D14" s="16">
        <f>IF('ر-فرعي'!F19&gt;0,'ر-فرعي'!F19,"")</f>
        <v>5635000</v>
      </c>
      <c r="E14" s="16">
        <f>IF('ر-فرعي'!G19&gt;0,'ر-فرعي'!G19,"")</f>
        <v>5329325.33</v>
      </c>
      <c r="F14" s="147">
        <f>IF('ر-فرعي'!H19&gt;0,'ر-فرعي'!H19,"")</f>
        <v>5610000</v>
      </c>
      <c r="G14" s="112">
        <f t="shared" si="0"/>
        <v>0.99556344276841169</v>
      </c>
    </row>
    <row r="15" spans="2:7" x14ac:dyDescent="0.2">
      <c r="B15" s="30">
        <f>IF('ر-فرعي'!D20&gt;0,'ر-فرعي'!D20,"")</f>
        <v>10104002</v>
      </c>
      <c r="C15" s="18" t="str">
        <f>IF('ر-فرعي'!E20&gt;0,'ر-فرعي'!E20,"")</f>
        <v>خدمات جامعية/ الموازي</v>
      </c>
      <c r="D15" s="16">
        <f>IF('ر-فرعي'!F20&gt;0,'ر-فرعي'!F20,"")</f>
        <v>1100000</v>
      </c>
      <c r="E15" s="16">
        <f>IF('ر-فرعي'!G20&gt;0,'ر-فرعي'!G20,"")</f>
        <v>1159307.78</v>
      </c>
      <c r="F15" s="147">
        <f>IF('ر-فرعي'!H20&gt;0,'ر-فرعي'!H20,"")</f>
        <v>1200000</v>
      </c>
      <c r="G15" s="112">
        <f t="shared" si="0"/>
        <v>1.0909090909090908</v>
      </c>
    </row>
    <row r="16" spans="2:7" x14ac:dyDescent="0.2">
      <c r="B16" s="30">
        <f>IF('ر-فرعي'!D21&gt;0,'ر-فرعي'!D21,"")</f>
        <v>10104004</v>
      </c>
      <c r="C16" s="18" t="str">
        <f>IF('ر-فرعي'!E21&gt;0,'ر-فرعي'!E21,"")</f>
        <v>رسوم القبول/ الموازي</v>
      </c>
      <c r="D16" s="16">
        <f>IF('ر-فرعي'!F21&gt;0,'ر-فرعي'!F21,"")</f>
        <v>70000</v>
      </c>
      <c r="E16" s="16">
        <f>IF('ر-فرعي'!G21&gt;0,'ر-فرعي'!G21,"")</f>
        <v>46399.3</v>
      </c>
      <c r="F16" s="147">
        <f>IF('ر-فرعي'!H21&gt;0,'ر-فرعي'!H21,"")</f>
        <v>50000</v>
      </c>
      <c r="G16" s="112">
        <f t="shared" si="0"/>
        <v>0.7142857142857143</v>
      </c>
    </row>
    <row r="17" spans="2:7" x14ac:dyDescent="0.2">
      <c r="B17" s="30">
        <f>IF('ر-فرعي'!D22&gt;0,'ر-فرعي'!D22,"")</f>
        <v>10104005</v>
      </c>
      <c r="C17" s="18" t="str">
        <f>IF('ر-فرعي'!E22&gt;0,'ر-فرعي'!E22,"")</f>
        <v>رسوم طلبات الالتحاق/ الموازي</v>
      </c>
      <c r="D17" s="16">
        <f>IF('ر-فرعي'!F22&gt;0,'ر-فرعي'!F22,"")</f>
        <v>80000</v>
      </c>
      <c r="E17" s="16">
        <f>IF('ر-فرعي'!G22&gt;0,'ر-فرعي'!G22,"")</f>
        <v>61766.875999999997</v>
      </c>
      <c r="F17" s="147">
        <f>IF('ر-فرعي'!H22&gt;0,'ر-فرعي'!H22,"")</f>
        <v>70000</v>
      </c>
      <c r="G17" s="112">
        <f t="shared" si="0"/>
        <v>0.875</v>
      </c>
    </row>
    <row r="18" spans="2:7" x14ac:dyDescent="0.2">
      <c r="B18" s="30">
        <f>IF('ر-فرعي'!D23&gt;0,'ر-فرعي'!D23,"")</f>
        <v>10104006</v>
      </c>
      <c r="C18" s="18" t="str">
        <f>IF('ر-فرعي'!E23&gt;0,'ر-فرعي'!E23,"")</f>
        <v>رسوم اخرى ومتنوعة / الموازي</v>
      </c>
      <c r="D18" s="16">
        <f>IF('ر-فرعي'!F23&gt;0,'ر-فرعي'!F23,"")</f>
        <v>200000</v>
      </c>
      <c r="E18" s="16">
        <f>IF('ر-فرعي'!G23&gt;0,'ر-فرعي'!G23,"")</f>
        <v>205440.26800000001</v>
      </c>
      <c r="F18" s="147">
        <f>IF('ر-فرعي'!H23&gt;0,'ر-فرعي'!H23,"")</f>
        <v>210000</v>
      </c>
      <c r="G18" s="112">
        <f t="shared" si="0"/>
        <v>1.05</v>
      </c>
    </row>
    <row r="19" spans="2:7" x14ac:dyDescent="0.2">
      <c r="B19" s="30">
        <f>IF('ر-فرعي'!D26&gt;0,'ر-فرعي'!D26,"")</f>
        <v>10107001</v>
      </c>
      <c r="C19" s="18" t="str">
        <f>IF('ر-فرعي'!E26&gt;0,'ر-فرعي'!E26,"")</f>
        <v>رسوم الساعات المعتمدة / ماجستير دولي</v>
      </c>
      <c r="D19" s="16">
        <f>IF('ر-فرعي'!F26&gt;0,'ر-فرعي'!F26,"")</f>
        <v>1650000</v>
      </c>
      <c r="E19" s="16">
        <f>IF('ر-فرعي'!G26&gt;0,'ر-فرعي'!G26,"")</f>
        <v>914290.16</v>
      </c>
      <c r="F19" s="147">
        <f>IF('ر-فرعي'!H26&gt;0,'ر-فرعي'!H26,"")</f>
        <v>930000</v>
      </c>
      <c r="G19" s="112">
        <f t="shared" si="0"/>
        <v>0.5636363636363636</v>
      </c>
    </row>
    <row r="20" spans="2:7" x14ac:dyDescent="0.2">
      <c r="B20" s="30">
        <f>IF('ر-فرعي'!D27&gt;0,'ر-فرعي'!D27,"")</f>
        <v>10107002</v>
      </c>
      <c r="C20" s="18" t="str">
        <f>IF('ر-فرعي'!E27&gt;0,'ر-فرعي'!E27,"")</f>
        <v>خدمات جامعية / ماجستير دولي</v>
      </c>
      <c r="D20" s="16">
        <f>IF('ر-فرعي'!F27&gt;0,'ر-فرعي'!F27,"")</f>
        <v>250000</v>
      </c>
      <c r="E20" s="16">
        <f>IF('ر-فرعي'!G27&gt;0,'ر-فرعي'!G27,"")</f>
        <v>145583</v>
      </c>
      <c r="F20" s="147">
        <f>IF('ر-فرعي'!H27&gt;0,'ر-فرعي'!H27,"")</f>
        <v>155000</v>
      </c>
      <c r="G20" s="112">
        <f t="shared" si="0"/>
        <v>0.62</v>
      </c>
    </row>
    <row r="21" spans="2:7" x14ac:dyDescent="0.2">
      <c r="B21" s="30">
        <f>IF('ر-فرعي'!D28&gt;0,'ر-فرعي'!D28,"")</f>
        <v>10107003</v>
      </c>
      <c r="C21" s="18" t="str">
        <f>IF('ر-فرعي'!E28&gt;0,'ر-فرعي'!E28,"")</f>
        <v>رسوم استخدام مصادر تعليمية / ماجستير دولي</v>
      </c>
      <c r="D21" s="16">
        <f>IF('ر-فرعي'!F28&gt;0,'ر-فرعي'!F28,"")</f>
        <v>120000</v>
      </c>
      <c r="E21" s="16">
        <f>IF('ر-فرعي'!G28&gt;0,'ر-فرعي'!G28,"")</f>
        <v>69825</v>
      </c>
      <c r="F21" s="147">
        <f>IF('ر-فرعي'!H28&gt;0,'ر-فرعي'!H28,"")</f>
        <v>70000</v>
      </c>
      <c r="G21" s="112">
        <f t="shared" si="0"/>
        <v>0.58333333333333337</v>
      </c>
    </row>
    <row r="22" spans="2:7" x14ac:dyDescent="0.2">
      <c r="B22" s="30">
        <f>IF('ر-فرعي'!D29&gt;0,'ر-فرعي'!D29,"")</f>
        <v>10107004</v>
      </c>
      <c r="C22" s="18" t="str">
        <f>IF('ر-فرعي'!E29&gt;0,'ر-فرعي'!E29,"")</f>
        <v>رسوم القبول / ماجستير دولي</v>
      </c>
      <c r="D22" s="16">
        <f>IF('ر-فرعي'!F29&gt;0,'ر-فرعي'!F29,"")</f>
        <v>75000</v>
      </c>
      <c r="E22" s="16">
        <f>IF('ر-فرعي'!G29&gt;0,'ر-فرعي'!G29,"")</f>
        <v>36900</v>
      </c>
      <c r="F22" s="147">
        <f>IF('ر-فرعي'!H29&gt;0,'ر-فرعي'!H29,"")</f>
        <v>40000</v>
      </c>
      <c r="G22" s="112">
        <f t="shared" si="0"/>
        <v>0.53333333333333333</v>
      </c>
    </row>
    <row r="23" spans="2:7" x14ac:dyDescent="0.2">
      <c r="B23" s="30">
        <f>IF('ر-فرعي'!D30&gt;0,'ر-فرعي'!D30,"")</f>
        <v>10107005</v>
      </c>
      <c r="C23" s="18" t="str">
        <f>IF('ر-فرعي'!E30&gt;0,'ر-فرعي'!E30,"")</f>
        <v>رسوم طلب الالتحاق / ماجستير دولي</v>
      </c>
      <c r="D23" s="16">
        <f>IF('ر-فرعي'!F30&gt;0,'ر-فرعي'!F30,"")</f>
        <v>15000</v>
      </c>
      <c r="E23" s="16">
        <f>IF('ر-فرعي'!G30&gt;0,'ر-فرعي'!G30,"")</f>
        <v>8420</v>
      </c>
      <c r="F23" s="147">
        <f>IF('ر-فرعي'!H30&gt;0,'ر-فرعي'!H30,"")</f>
        <v>10000</v>
      </c>
      <c r="G23" s="112">
        <f t="shared" si="0"/>
        <v>0.66666666666666663</v>
      </c>
    </row>
    <row r="24" spans="2:7" x14ac:dyDescent="0.2">
      <c r="B24" s="30">
        <f>IF('ر-فرعي'!D31&gt;0,'ر-فرعي'!D31,"")</f>
        <v>10107006</v>
      </c>
      <c r="C24" s="18" t="str">
        <f>IF('ر-فرعي'!E31&gt;0,'ر-فرعي'!E31,"")</f>
        <v>رسوم اخرى ومتنوعة / ماجستير دولي</v>
      </c>
      <c r="D24" s="16">
        <f>IF('ر-فرعي'!F31&gt;0,'ر-فرعي'!F31,"")</f>
        <v>25000</v>
      </c>
      <c r="E24" s="16">
        <f>IF('ر-فرعي'!G31&gt;0,'ر-فرعي'!G31,"")</f>
        <v>23620.85</v>
      </c>
      <c r="F24" s="147">
        <f>IF('ر-فرعي'!H31&gt;0,'ر-فرعي'!H31,"")</f>
        <v>25000</v>
      </c>
      <c r="G24" s="112">
        <f t="shared" si="0"/>
        <v>1</v>
      </c>
    </row>
    <row r="25" spans="2:7" x14ac:dyDescent="0.2">
      <c r="B25" s="30">
        <f>IF('ر-فرعي'!D34&gt;0,'ر-فرعي'!D34,"")</f>
        <v>10108001</v>
      </c>
      <c r="C25" s="18" t="str">
        <f>IF('ر-فرعي'!E34&gt;0,'ر-فرعي'!E34,"")</f>
        <v>رسوم الساعات المعتمدة / ماجستير عادي</v>
      </c>
      <c r="D25" s="16">
        <f>IF('ر-فرعي'!F34&gt;0,'ر-فرعي'!F34,"")</f>
        <v>2000000</v>
      </c>
      <c r="E25" s="16">
        <f>IF('ر-فرعي'!G34&gt;0,'ر-فرعي'!G34,"")</f>
        <v>1535027.16</v>
      </c>
      <c r="F25" s="147">
        <f>IF('ر-فرعي'!H34&gt;0,'ر-فرعي'!H34,"")</f>
        <v>1700000</v>
      </c>
      <c r="G25" s="112">
        <f t="shared" si="0"/>
        <v>0.85</v>
      </c>
    </row>
    <row r="26" spans="2:7" x14ac:dyDescent="0.2">
      <c r="B26" s="30">
        <f>IF('ر-فرعي'!D35&gt;0,'ر-فرعي'!D35,"")</f>
        <v>10108002</v>
      </c>
      <c r="C26" s="18" t="str">
        <f>IF('ر-فرعي'!E35&gt;0,'ر-فرعي'!E35,"")</f>
        <v>خدمات جامعية / ماجستير عادي</v>
      </c>
      <c r="D26" s="16">
        <f>IF('ر-فرعي'!F35&gt;0,'ر-فرعي'!F35,"")</f>
        <v>220000</v>
      </c>
      <c r="E26" s="16">
        <f>IF('ر-فرعي'!G35&gt;0,'ر-فرعي'!G35,"")</f>
        <v>190113.17800000001</v>
      </c>
      <c r="F26" s="147">
        <f>IF('ر-فرعي'!H35&gt;0,'ر-فرعي'!H35,"")</f>
        <v>200000</v>
      </c>
      <c r="G26" s="112">
        <f t="shared" si="0"/>
        <v>0.90909090909090906</v>
      </c>
    </row>
    <row r="27" spans="2:7" x14ac:dyDescent="0.2">
      <c r="B27" s="30">
        <f>IF('ر-فرعي'!D36&gt;0,'ر-فرعي'!D36,"")</f>
        <v>10108003</v>
      </c>
      <c r="C27" s="18" t="str">
        <f>IF('ر-فرعي'!E36&gt;0,'ر-فرعي'!E36,"")</f>
        <v>رسوم استخدام مصادر تعليمية / ماجستير عادي</v>
      </c>
      <c r="D27" s="16">
        <f>IF('ر-فرعي'!F36&gt;0,'ر-فرعي'!F36,"")</f>
        <v>200000</v>
      </c>
      <c r="E27" s="16">
        <f>IF('ر-فرعي'!G36&gt;0,'ر-فرعي'!G36,"")</f>
        <v>176609.8</v>
      </c>
      <c r="F27" s="147">
        <f>IF('ر-فرعي'!H36&gt;0,'ر-فرعي'!H36,"")</f>
        <v>190000</v>
      </c>
      <c r="G27" s="112">
        <f t="shared" si="0"/>
        <v>0.95</v>
      </c>
    </row>
    <row r="28" spans="2:7" x14ac:dyDescent="0.2">
      <c r="B28" s="30">
        <f>IF('ر-فرعي'!D37&gt;0,'ر-فرعي'!D37,"")</f>
        <v>10108004</v>
      </c>
      <c r="C28" s="18" t="str">
        <f>IF('ر-فرعي'!E37&gt;0,'ر-فرعي'!E37,"")</f>
        <v>رسوم القبول / ماجستير عادي</v>
      </c>
      <c r="D28" s="16">
        <f>IF('ر-فرعي'!F37&gt;0,'ر-فرعي'!F37,"")</f>
        <v>150000</v>
      </c>
      <c r="E28" s="16">
        <f>IF('ر-فرعي'!G37&gt;0,'ر-فرعي'!G37,"")</f>
        <v>143979</v>
      </c>
      <c r="F28" s="147">
        <f>IF('ر-فرعي'!H37&gt;0,'ر-فرعي'!H37,"")</f>
        <v>150000</v>
      </c>
      <c r="G28" s="112">
        <f t="shared" si="0"/>
        <v>1</v>
      </c>
    </row>
    <row r="29" spans="2:7" x14ac:dyDescent="0.2">
      <c r="B29" s="30">
        <f>IF('ر-فرعي'!D38&gt;0,'ر-فرعي'!D38,"")</f>
        <v>10108005</v>
      </c>
      <c r="C29" s="18" t="str">
        <f>IF('ر-فرعي'!E38&gt;0,'ر-فرعي'!E38,"")</f>
        <v>رسوم طلب الالتحاق / ماجستير عادي</v>
      </c>
      <c r="D29" s="16">
        <f>IF('ر-فرعي'!F38&gt;0,'ر-فرعي'!F38,"")</f>
        <v>35000</v>
      </c>
      <c r="E29" s="16">
        <f>IF('ر-فرعي'!G38&gt;0,'ر-فرعي'!G38,"")</f>
        <v>24460</v>
      </c>
      <c r="F29" s="147">
        <f>IF('ر-فرعي'!H38&gt;0,'ر-فرعي'!H38,"")</f>
        <v>30000</v>
      </c>
      <c r="G29" s="112">
        <f t="shared" si="0"/>
        <v>0.8571428571428571</v>
      </c>
    </row>
    <row r="30" spans="2:7" x14ac:dyDescent="0.2">
      <c r="B30" s="30">
        <f>IF('ر-فرعي'!D39&gt;0,'ر-فرعي'!D39,"")</f>
        <v>10108006</v>
      </c>
      <c r="C30" s="18" t="str">
        <f>IF('ر-فرعي'!E39&gt;0,'ر-فرعي'!E39,"")</f>
        <v>رسوم اخرى متنوعة / ماجستير عادي</v>
      </c>
      <c r="D30" s="16">
        <f>IF('ر-فرعي'!F39&gt;0,'ر-فرعي'!F39,"")</f>
        <v>63000</v>
      </c>
      <c r="E30" s="16">
        <f>IF('ر-فرعي'!G39&gt;0,'ر-فرعي'!G39,"")</f>
        <v>75573.284</v>
      </c>
      <c r="F30" s="147">
        <f>IF('ر-فرعي'!H39&gt;0,'ر-فرعي'!H39,"")</f>
        <v>80000</v>
      </c>
      <c r="G30" s="112">
        <f t="shared" si="0"/>
        <v>1.2698412698412698</v>
      </c>
    </row>
    <row r="31" spans="2:7" x14ac:dyDescent="0.2">
      <c r="B31" s="30">
        <f>IF('ر-فرعي'!D42&gt;0,'ر-فرعي'!D42,"")</f>
        <v>10109001</v>
      </c>
      <c r="C31" s="18" t="str">
        <f>IF('ر-فرعي'!E42&gt;0,'ر-فرعي'!E42,"")</f>
        <v>رسوم الساعات المعتمدة / دكتوراه دولي</v>
      </c>
      <c r="D31" s="16">
        <f>IF('ر-فرعي'!F42&gt;0,'ر-فرعي'!F42,"")</f>
        <v>50000</v>
      </c>
      <c r="E31" s="16" t="str">
        <f>IF('ر-فرعي'!G42&gt;0,'ر-فرعي'!G42,"")</f>
        <v/>
      </c>
      <c r="F31" s="147">
        <f>IF('ر-فرعي'!H42&gt;0,'ر-فرعي'!H42,"")</f>
        <v>10000</v>
      </c>
      <c r="G31" s="112">
        <f t="shared" si="0"/>
        <v>0.2</v>
      </c>
    </row>
    <row r="32" spans="2:7" x14ac:dyDescent="0.2">
      <c r="B32" s="30">
        <f>IF('ر-فرعي'!D43&gt;0,'ر-فرعي'!D43,"")</f>
        <v>10109002</v>
      </c>
      <c r="C32" s="18" t="str">
        <f>IF('ر-فرعي'!E43&gt;0,'ر-فرعي'!E43,"")</f>
        <v>خدمات جامعية / دكتوراه دولي</v>
      </c>
      <c r="D32" s="16">
        <f>IF('ر-فرعي'!F43&gt;0,'ر-فرعي'!F43,"")</f>
        <v>15000</v>
      </c>
      <c r="E32" s="16" t="str">
        <f>IF('ر-فرعي'!G43&gt;0,'ر-فرعي'!G43,"")</f>
        <v/>
      </c>
      <c r="F32" s="147">
        <f>IF('ر-فرعي'!H43&gt;0,'ر-فرعي'!H43,"")</f>
        <v>5000</v>
      </c>
      <c r="G32" s="112">
        <f t="shared" si="0"/>
        <v>0.33333333333333331</v>
      </c>
    </row>
    <row r="33" spans="2:7" x14ac:dyDescent="0.2">
      <c r="B33" s="30">
        <f>IF('ر-فرعي'!D44&gt;0,'ر-فرعي'!D44,"")</f>
        <v>10109003</v>
      </c>
      <c r="C33" s="18" t="str">
        <f>IF('ر-فرعي'!E44&gt;0,'ر-فرعي'!E44,"")</f>
        <v>رسوم استخدام مصادر تعليمية/ دكتوراه دولي</v>
      </c>
      <c r="D33" s="16">
        <f>IF('ر-فرعي'!F44&gt;0,'ر-فرعي'!F44,"")</f>
        <v>10000</v>
      </c>
      <c r="E33" s="16" t="str">
        <f>IF('ر-فرعي'!G44&gt;0,'ر-فرعي'!G44,"")</f>
        <v/>
      </c>
      <c r="F33" s="147">
        <f>IF('ر-فرعي'!H44&gt;0,'ر-فرعي'!H44,"")</f>
        <v>5000</v>
      </c>
      <c r="G33" s="112">
        <f t="shared" si="0"/>
        <v>0.5</v>
      </c>
    </row>
    <row r="34" spans="2:7" x14ac:dyDescent="0.2">
      <c r="B34" s="30">
        <f>IF('ر-فرعي'!D45&gt;0,'ر-فرعي'!D45,"")</f>
        <v>10109004</v>
      </c>
      <c r="C34" s="18" t="str">
        <f>IF('ر-فرعي'!E45&gt;0,'ر-فرعي'!E45,"")</f>
        <v>رسوم القبول / دكتوراه دولي</v>
      </c>
      <c r="D34" s="16">
        <f>IF('ر-فرعي'!F45&gt;0,'ر-فرعي'!F45,"")</f>
        <v>10000</v>
      </c>
      <c r="E34" s="16" t="str">
        <f>IF('ر-فرعي'!G45&gt;0,'ر-فرعي'!G45,"")</f>
        <v/>
      </c>
      <c r="F34" s="147">
        <f>IF('ر-فرعي'!H45&gt;0,'ر-فرعي'!H45,"")</f>
        <v>5000</v>
      </c>
      <c r="G34" s="112">
        <f t="shared" si="0"/>
        <v>0.5</v>
      </c>
    </row>
    <row r="35" spans="2:7" x14ac:dyDescent="0.2">
      <c r="B35" s="30">
        <f>IF('ر-فرعي'!D46&gt;0,'ر-فرعي'!D46,"")</f>
        <v>10109005</v>
      </c>
      <c r="C35" s="18" t="str">
        <f>IF('ر-فرعي'!E46&gt;0,'ر-فرعي'!E46,"")</f>
        <v>رسوم طلب الالتحاق / دكتوراه دولي</v>
      </c>
      <c r="D35" s="16">
        <f>IF('ر-فرعي'!F46&gt;0,'ر-فرعي'!F46,"")</f>
        <v>5000</v>
      </c>
      <c r="E35" s="16" t="str">
        <f>IF('ر-فرعي'!G46&gt;0,'ر-فرعي'!G46,"")</f>
        <v/>
      </c>
      <c r="F35" s="147">
        <f>IF('ر-فرعي'!H46&gt;0,'ر-فرعي'!H46,"")</f>
        <v>5000</v>
      </c>
      <c r="G35" s="112">
        <f t="shared" si="0"/>
        <v>1</v>
      </c>
    </row>
    <row r="36" spans="2:7" x14ac:dyDescent="0.2">
      <c r="B36" s="30">
        <f>IF('ر-فرعي'!D47&gt;0,'ر-فرعي'!D47,"")</f>
        <v>10109006</v>
      </c>
      <c r="C36" s="18" t="str">
        <f>IF('ر-فرعي'!E47&gt;0,'ر-فرعي'!E47,"")</f>
        <v>رسوم اخرى ومتنوعة / دكتوراه دولي</v>
      </c>
      <c r="D36" s="16">
        <f>IF('ر-فرعي'!F47&gt;0,'ر-فرعي'!F47,"")</f>
        <v>500</v>
      </c>
      <c r="E36" s="16" t="str">
        <f>IF('ر-فرعي'!G47&gt;0,'ر-فرعي'!G47,"")</f>
        <v/>
      </c>
      <c r="F36" s="147">
        <f>IF('ر-فرعي'!H47&gt;0,'ر-فرعي'!H47,"")</f>
        <v>1000</v>
      </c>
      <c r="G36" s="112">
        <f t="shared" si="0"/>
        <v>2</v>
      </c>
    </row>
    <row r="37" spans="2:7" x14ac:dyDescent="0.2">
      <c r="B37" s="30">
        <f>IF('ر-فرعي'!D50&gt;0,'ر-فرعي'!D50,"")</f>
        <v>10110001</v>
      </c>
      <c r="C37" s="18" t="str">
        <f>IF('ر-فرعي'!E50&gt;0,'ر-فرعي'!E50,"")</f>
        <v>رسوم الساعات المعتمدة / دكتوراه عادي</v>
      </c>
      <c r="D37" s="16">
        <f>IF('ر-فرعي'!F50&gt;0,'ر-فرعي'!F50,"")</f>
        <v>90000</v>
      </c>
      <c r="E37" s="16">
        <f>IF('ر-فرعي'!G50&gt;0,'ر-فرعي'!G50,"")</f>
        <v>59688</v>
      </c>
      <c r="F37" s="147">
        <f>IF('ر-فرعي'!H50&gt;0,'ر-فرعي'!H50,"")</f>
        <v>90000</v>
      </c>
      <c r="G37" s="112">
        <f t="shared" si="0"/>
        <v>1</v>
      </c>
    </row>
    <row r="38" spans="2:7" x14ac:dyDescent="0.2">
      <c r="B38" s="30">
        <f>IF('ر-فرعي'!D51&gt;0,'ر-فرعي'!D51,"")</f>
        <v>10110002</v>
      </c>
      <c r="C38" s="18" t="str">
        <f>IF('ر-فرعي'!E51&gt;0,'ر-فرعي'!E51,"")</f>
        <v>خدمات جامعية / دكتوراه عادي</v>
      </c>
      <c r="D38" s="16">
        <f>IF('ر-فرعي'!F51&gt;0,'ر-فرعي'!F51,"")</f>
        <v>15000</v>
      </c>
      <c r="E38" s="16">
        <f>IF('ر-فرعي'!G51&gt;0,'ر-فرعي'!G51,"")</f>
        <v>16300</v>
      </c>
      <c r="F38" s="147">
        <f>IF('ر-فرعي'!H51&gt;0,'ر-فرعي'!H51,"")</f>
        <v>20000</v>
      </c>
      <c r="G38" s="112">
        <f t="shared" si="0"/>
        <v>1.3333333333333333</v>
      </c>
    </row>
    <row r="39" spans="2:7" x14ac:dyDescent="0.2">
      <c r="B39" s="30">
        <f>IF('ر-فرعي'!D52&gt;0,'ر-فرعي'!D52,"")</f>
        <v>10110003</v>
      </c>
      <c r="C39" s="18" t="str">
        <f>IF('ر-فرعي'!E52&gt;0,'ر-فرعي'!E52,"")</f>
        <v>رسوم استخدام مصادر تعليمية / دكتوراه عادي</v>
      </c>
      <c r="D39" s="16">
        <f>IF('ر-فرعي'!F52&gt;0,'ر-فرعي'!F52,"")</f>
        <v>7500</v>
      </c>
      <c r="E39" s="16">
        <f>IF('ر-فرعي'!G52&gt;0,'ر-فرعي'!G52,"")</f>
        <v>8150</v>
      </c>
      <c r="F39" s="147">
        <f>IF('ر-فرعي'!H52&gt;0,'ر-فرعي'!H52,"")</f>
        <v>9000</v>
      </c>
      <c r="G39" s="112">
        <f t="shared" si="0"/>
        <v>1.2</v>
      </c>
    </row>
    <row r="40" spans="2:7" x14ac:dyDescent="0.2">
      <c r="B40" s="30">
        <f>IF('ر-فرعي'!D53&gt;0,'ر-فرعي'!D53,"")</f>
        <v>10110004</v>
      </c>
      <c r="C40" s="18" t="str">
        <f>IF('ر-فرعي'!E53&gt;0,'ر-فرعي'!E53,"")</f>
        <v>رسوم القبول / دكتوراه عادي</v>
      </c>
      <c r="D40" s="16">
        <f>IF('ر-فرعي'!F53&gt;0,'ر-فرعي'!F53,"")</f>
        <v>5000</v>
      </c>
      <c r="E40" s="16">
        <f>IF('ر-فرعي'!G53&gt;0,'ر-فرعي'!G53,"")</f>
        <v>3300</v>
      </c>
      <c r="F40" s="147">
        <f>IF('ر-فرعي'!H53&gt;0,'ر-فرعي'!H53,"")</f>
        <v>5000</v>
      </c>
      <c r="G40" s="112">
        <f t="shared" si="0"/>
        <v>1</v>
      </c>
    </row>
    <row r="41" spans="2:7" x14ac:dyDescent="0.2">
      <c r="B41" s="30">
        <f>IF('ر-فرعي'!D54&gt;0,'ر-فرعي'!D54,"")</f>
        <v>10110005</v>
      </c>
      <c r="C41" s="18" t="str">
        <f>IF('ر-فرعي'!E54&gt;0,'ر-فرعي'!E54,"")</f>
        <v>رسوم طلب الالتحاق / دكتوراه عادي</v>
      </c>
      <c r="D41" s="16">
        <f>IF('ر-فرعي'!F54&gt;0,'ر-فرعي'!F54,"")</f>
        <v>1000</v>
      </c>
      <c r="E41" s="16">
        <f>IF('ر-فرعي'!G54&gt;0,'ر-فرعي'!G54,"")</f>
        <v>850</v>
      </c>
      <c r="F41" s="147">
        <f>IF('ر-فرعي'!H54&gt;0,'ر-فرعي'!H54,"")</f>
        <v>1000</v>
      </c>
      <c r="G41" s="112">
        <f t="shared" si="0"/>
        <v>1</v>
      </c>
    </row>
    <row r="42" spans="2:7" x14ac:dyDescent="0.2">
      <c r="B42" s="30">
        <f>IF('ر-فرعي'!D55&gt;0,'ر-فرعي'!D55,"")</f>
        <v>10110006</v>
      </c>
      <c r="C42" s="18" t="str">
        <f>IF('ر-فرعي'!E55&gt;0,'ر-فرعي'!E55,"")</f>
        <v>رسوم اخرى ومتنوعة / دكتوراه عادي</v>
      </c>
      <c r="D42" s="16">
        <f>IF('ر-فرعي'!F55&gt;0,'ر-فرعي'!F55,"")</f>
        <v>1000</v>
      </c>
      <c r="E42" s="16">
        <f>IF('ر-فرعي'!G55&gt;0,'ر-فرعي'!G55,"")</f>
        <v>2098.5</v>
      </c>
      <c r="F42" s="147">
        <f>IF('ر-فرعي'!H55&gt;0,'ر-فرعي'!H55,"")</f>
        <v>3000</v>
      </c>
      <c r="G42" s="112">
        <f t="shared" si="0"/>
        <v>3</v>
      </c>
    </row>
    <row r="43" spans="2:7" x14ac:dyDescent="0.2">
      <c r="B43" s="30">
        <f>IF('ر-فرعي'!D58&gt;0,'ر-فرعي'!D58,"")</f>
        <v>10111001</v>
      </c>
      <c r="C43" s="18" t="str">
        <f>IF('ر-فرعي'!E58&gt;0,'ر-فرعي'!E58,"")</f>
        <v>رسوم الساعات المعتمدة / دبلوم عالي</v>
      </c>
      <c r="D43" s="16">
        <f>IF('ر-فرعي'!F58&gt;0,'ر-فرعي'!F58,"")</f>
        <v>170000</v>
      </c>
      <c r="E43" s="16">
        <f>IF('ر-فرعي'!G58&gt;0,'ر-فرعي'!G58,"")</f>
        <v>473383.89</v>
      </c>
      <c r="F43" s="147">
        <f>IF('ر-فرعي'!H58&gt;0,'ر-فرعي'!H58,"")</f>
        <v>500000</v>
      </c>
      <c r="G43" s="112">
        <f t="shared" si="0"/>
        <v>2.9411764705882355</v>
      </c>
    </row>
    <row r="44" spans="2:7" x14ac:dyDescent="0.2">
      <c r="B44" s="30">
        <f>IF('ر-فرعي'!D59&gt;0,'ر-فرعي'!D59,"")</f>
        <v>10111002</v>
      </c>
      <c r="C44" s="18" t="str">
        <f>IF('ر-فرعي'!E59&gt;0,'ر-فرعي'!E59,"")</f>
        <v>خدمات جامعية / دبلوم عالي</v>
      </c>
      <c r="D44" s="16">
        <f>IF('ر-فرعي'!F59&gt;0,'ر-فرعي'!F59,"")</f>
        <v>12000</v>
      </c>
      <c r="E44" s="16">
        <f>IF('ر-فرعي'!G59&gt;0,'ر-فرعي'!G59,"")</f>
        <v>33667.32</v>
      </c>
      <c r="F44" s="147">
        <f>IF('ر-فرعي'!H59&gt;0,'ر-فرعي'!H59,"")</f>
        <v>40000</v>
      </c>
      <c r="G44" s="112">
        <f t="shared" si="0"/>
        <v>3.3333333333333335</v>
      </c>
    </row>
    <row r="45" spans="2:7" x14ac:dyDescent="0.2">
      <c r="B45" s="30">
        <f>IF('ر-فرعي'!D60&gt;0,'ر-فرعي'!D60,"")</f>
        <v>10111003</v>
      </c>
      <c r="C45" s="18" t="str">
        <f>IF('ر-فرعي'!E60&gt;0,'ر-فرعي'!E60,"")</f>
        <v>رسوم القبول / دبلوم عالي</v>
      </c>
      <c r="D45" s="16">
        <f>IF('ر-فرعي'!F60&gt;0,'ر-فرعي'!F60,"")</f>
        <v>3000</v>
      </c>
      <c r="E45" s="16">
        <f>IF('ر-فرعي'!G60&gt;0,'ر-فرعي'!G60,"")</f>
        <v>7336.2</v>
      </c>
      <c r="F45" s="147">
        <f>IF('ر-فرعي'!H60&gt;0,'ر-فرعي'!H60,"")</f>
        <v>10000</v>
      </c>
      <c r="G45" s="112">
        <f t="shared" si="0"/>
        <v>3.3333333333333335</v>
      </c>
    </row>
    <row r="46" spans="2:7" x14ac:dyDescent="0.2">
      <c r="B46" s="30">
        <f>IF('ر-فرعي'!D61&gt;0,'ر-فرعي'!D61,"")</f>
        <v>10111004</v>
      </c>
      <c r="C46" s="18" t="str">
        <f>IF('ر-فرعي'!E61&gt;0,'ر-فرعي'!E61,"")</f>
        <v>رسوم طلب الالتحاق / دبلوم عالي</v>
      </c>
      <c r="D46" s="16">
        <f>IF('ر-فرعي'!F61&gt;0,'ر-فرعي'!F61,"")</f>
        <v>2500</v>
      </c>
      <c r="E46" s="16">
        <f>IF('ر-فرعي'!G61&gt;0,'ر-فرعي'!G61,"")</f>
        <v>6585</v>
      </c>
      <c r="F46" s="147">
        <f>IF('ر-فرعي'!H61&gt;0,'ر-فرعي'!H61,"")</f>
        <v>10000</v>
      </c>
      <c r="G46" s="112">
        <f t="shared" si="0"/>
        <v>4</v>
      </c>
    </row>
    <row r="47" spans="2:7" x14ac:dyDescent="0.2">
      <c r="B47" s="30">
        <f>IF('ر-فرعي'!D62&gt;0,'ر-فرعي'!D62,"")</f>
        <v>10111005</v>
      </c>
      <c r="C47" s="18" t="str">
        <f>IF('ر-فرعي'!E62&gt;0,'ر-فرعي'!E62,"")</f>
        <v>رسوم اخرى ومتنوعة / دبلوم عالي</v>
      </c>
      <c r="D47" s="16">
        <f>IF('ر-فرعي'!F62&gt;0,'ر-فرعي'!F62,"")</f>
        <v>7000</v>
      </c>
      <c r="E47" s="16">
        <f>IF('ر-فرعي'!G62&gt;0,'ر-فرعي'!G62,"")</f>
        <v>12397.35</v>
      </c>
      <c r="F47" s="147">
        <f>IF('ر-فرعي'!H62&gt;0,'ر-فرعي'!H62,"")</f>
        <v>17000</v>
      </c>
      <c r="G47" s="112">
        <f t="shared" si="0"/>
        <v>2.4285714285714284</v>
      </c>
    </row>
    <row r="48" spans="2:7" x14ac:dyDescent="0.2">
      <c r="B48" s="30">
        <f>IF('ر-فرعي'!D65&gt;0,'ر-فرعي'!D65,"")</f>
        <v>10120001</v>
      </c>
      <c r="C48" s="18" t="str">
        <f>IF('ر-فرعي'!E65&gt;0,'ر-فرعي'!E65,"")</f>
        <v>رسوم جامعية مستحقة (بكالوريوس عادي)</v>
      </c>
      <c r="D48" s="16">
        <f>IF('ر-فرعي'!F65&gt;0,'ر-فرعي'!F65,"")</f>
        <v>1000000</v>
      </c>
      <c r="E48" s="16">
        <f>IF('ر-فرعي'!G65&gt;0,'ر-فرعي'!G65,"")</f>
        <v>511310.74699999997</v>
      </c>
      <c r="F48" s="147">
        <f>IF('ر-فرعي'!H65&gt;0,'ر-فرعي'!H65,"")</f>
        <v>800000</v>
      </c>
      <c r="G48" s="112">
        <f t="shared" si="0"/>
        <v>0.8</v>
      </c>
    </row>
    <row r="49" spans="2:7" x14ac:dyDescent="0.2">
      <c r="B49" s="30">
        <f>IF('ر-فرعي'!D66&gt;0,'ر-فرعي'!D66,"")</f>
        <v>10120002</v>
      </c>
      <c r="C49" s="18" t="str">
        <f>IF('ر-فرعي'!E66&gt;0,'ر-فرعي'!E66,"")</f>
        <v xml:space="preserve">رسوم جامعية مستحقة (البرامج الأخرى) </v>
      </c>
      <c r="D49" s="16">
        <f>IF('ر-فرعي'!F66&gt;0,'ر-فرعي'!F66,"")</f>
        <v>90000</v>
      </c>
      <c r="E49" s="16">
        <f>IF('ر-فرعي'!G66&gt;0,'ر-فرعي'!G66,"")</f>
        <v>56893.239000000001</v>
      </c>
      <c r="F49" s="147">
        <f>IF('ر-فرعي'!H66&gt;0,'ر-فرعي'!H66,"")</f>
        <v>80000</v>
      </c>
      <c r="G49" s="112">
        <f t="shared" si="0"/>
        <v>0.88888888888888884</v>
      </c>
    </row>
    <row r="50" spans="2:7" x14ac:dyDescent="0.2">
      <c r="B50" s="438" t="str">
        <f>'ر-فرعي'!B68:E68</f>
        <v>مجموع الفصل الأول: الرسوم الجامعية</v>
      </c>
      <c r="C50" s="439"/>
      <c r="D50" s="144">
        <f>SUM(D6:D49)</f>
        <v>20566950</v>
      </c>
      <c r="E50" s="144">
        <f>SUM(E6:E49)</f>
        <v>19944943.774000004</v>
      </c>
      <c r="F50" s="144">
        <f>SUM(F6:F49)</f>
        <v>21233550</v>
      </c>
      <c r="G50" s="112">
        <f t="shared" si="0"/>
        <v>1.0324112228599769</v>
      </c>
    </row>
    <row r="51" spans="2:7" s="46" customFormat="1" x14ac:dyDescent="0.2">
      <c r="B51" s="458" t="str">
        <f>'ر-فرعي'!B69:E69</f>
        <v>مجموع الباب الأول: الرسوم الجامعية</v>
      </c>
      <c r="C51" s="459"/>
      <c r="D51" s="138">
        <f>SUM(D50)</f>
        <v>20566950</v>
      </c>
      <c r="E51" s="138">
        <f t="shared" ref="E51:F51" si="1">SUM(E50)</f>
        <v>19944943.774000004</v>
      </c>
      <c r="F51" s="138">
        <f t="shared" si="1"/>
        <v>21233550</v>
      </c>
      <c r="G51" s="112">
        <f t="shared" si="0"/>
        <v>1.0324112228599769</v>
      </c>
    </row>
    <row r="52" spans="2:7" x14ac:dyDescent="0.2">
      <c r="B52" s="425" t="str">
        <f>'ر-فرعي'!B70:I70</f>
        <v>الباب الثاني: الدعم الحكومي</v>
      </c>
      <c r="C52" s="426"/>
      <c r="D52" s="426"/>
      <c r="E52" s="426"/>
      <c r="F52" s="426"/>
      <c r="G52" s="427"/>
    </row>
    <row r="53" spans="2:7" x14ac:dyDescent="0.2">
      <c r="B53" s="468" t="str">
        <f>'ر-فرعي'!B71:I71</f>
        <v>الفصل الأول: الدعم الحكومي</v>
      </c>
      <c r="C53" s="469"/>
      <c r="D53" s="469"/>
      <c r="E53" s="469"/>
      <c r="F53" s="469"/>
      <c r="G53" s="470"/>
    </row>
    <row r="54" spans="2:7" x14ac:dyDescent="0.2">
      <c r="B54" s="30">
        <f>IF('ر-فرعي'!D73&gt;0,'ر-فرعي'!D73,"")</f>
        <v>11201001</v>
      </c>
      <c r="C54" s="18" t="str">
        <f>IF('ر-فرعي'!E73&gt;0,'ر-فرعي'!E73,"")</f>
        <v>الدعم الحكومي من الرسوم الجمركية والاضافية</v>
      </c>
      <c r="D54" s="16">
        <f>IF('ر-فرعي'!F73&gt;0,'ر-فرعي'!F73,"")</f>
        <v>8000000</v>
      </c>
      <c r="E54" s="16">
        <f>IF('ر-فرعي'!G73&gt;0,'ر-فرعي'!G73,"")</f>
        <v>6435957</v>
      </c>
      <c r="F54" s="147">
        <f>IF('ر-فرعي'!H73&gt;0,'ر-فرعي'!H73,"")</f>
        <v>7600000</v>
      </c>
      <c r="G54" s="112">
        <f>IFERROR(F54/D54,"")</f>
        <v>0.95</v>
      </c>
    </row>
    <row r="55" spans="2:7" x14ac:dyDescent="0.2">
      <c r="B55" s="438" t="str">
        <f>'ر-فرعي'!B75:E75</f>
        <v>مجموع الفصل الأول: الدعم الحكومي</v>
      </c>
      <c r="C55" s="439"/>
      <c r="D55" s="144">
        <f>SUM(D54:D54)</f>
        <v>8000000</v>
      </c>
      <c r="E55" s="144">
        <f>SUM(E54:E54)</f>
        <v>6435957</v>
      </c>
      <c r="F55" s="144">
        <f>SUM(F54:F54)</f>
        <v>7600000</v>
      </c>
      <c r="G55" s="112">
        <f>IFERROR(F55/D55,"")</f>
        <v>0.95</v>
      </c>
    </row>
    <row r="56" spans="2:7" x14ac:dyDescent="0.2">
      <c r="B56" s="458" t="str">
        <f>'ر-فرعي'!B76:E76</f>
        <v>مجموع الباب الثاني: الدعم الحكومي</v>
      </c>
      <c r="C56" s="459"/>
      <c r="D56" s="138">
        <f>D55</f>
        <v>8000000</v>
      </c>
      <c r="E56" s="138">
        <f>E55</f>
        <v>6435957</v>
      </c>
      <c r="F56" s="138">
        <f>F55</f>
        <v>7600000</v>
      </c>
      <c r="G56" s="112">
        <f>IFERROR(F56/D56,"")</f>
        <v>0.95</v>
      </c>
    </row>
    <row r="57" spans="2:7" s="46" customFormat="1" x14ac:dyDescent="0.2">
      <c r="B57" s="425" t="str">
        <f>'ر-فرعي'!B77:I77</f>
        <v>الباب الثالث: الإيرادات الذاتية الأخرى</v>
      </c>
      <c r="C57" s="426"/>
      <c r="D57" s="426"/>
      <c r="E57" s="426"/>
      <c r="F57" s="426"/>
      <c r="G57" s="427"/>
    </row>
    <row r="58" spans="2:7" x14ac:dyDescent="0.2">
      <c r="B58" s="468" t="str">
        <f>'ر-فرعي'!B78:I78</f>
        <v>الفصل الأول: ريع الأموال المنقولة وغير المنقولة</v>
      </c>
      <c r="C58" s="469"/>
      <c r="D58" s="469"/>
      <c r="E58" s="469"/>
      <c r="F58" s="469"/>
      <c r="G58" s="470"/>
    </row>
    <row r="59" spans="2:7" x14ac:dyDescent="0.2">
      <c r="B59" s="30">
        <f>IF('ر-فرعي'!D80&gt;0,'ر-فرعي'!D80,"")</f>
        <v>10201001</v>
      </c>
      <c r="C59" s="18" t="str">
        <f>IF('ر-فرعي'!E80&gt;0,'ر-فرعي'!E80,"")</f>
        <v>فوائد بنكية دائنة</v>
      </c>
      <c r="D59" s="16">
        <f>IF('ر-فرعي'!F80&gt;0,'ر-فرعي'!F80,"")</f>
        <v>300</v>
      </c>
      <c r="E59" s="16">
        <f>IF('ر-فرعي'!G80&gt;0,'ر-فرعي'!G80,"")</f>
        <v>4.8899999999999997</v>
      </c>
      <c r="F59" s="147">
        <f>IF('ر-فرعي'!H80&gt;0,'ر-فرعي'!H80,"")</f>
        <v>300</v>
      </c>
      <c r="G59" s="112">
        <f t="shared" ref="G59:G77" si="2">IFERROR(F59/D59,"")</f>
        <v>1</v>
      </c>
    </row>
    <row r="60" spans="2:7" x14ac:dyDescent="0.2">
      <c r="B60" s="30">
        <f>IF('ر-فرعي'!D83&gt;0,'ر-فرعي'!D83,"")</f>
        <v>10203001</v>
      </c>
      <c r="C60" s="18" t="str">
        <f>IF('ر-فرعي'!E83&gt;0,'ر-فرعي'!E83,"")</f>
        <v>ايرادات سكن الطالبات</v>
      </c>
      <c r="D60" s="16">
        <f>IF('ر-فرعي'!F83&gt;0,'ر-فرعي'!F83,"")</f>
        <v>30000</v>
      </c>
      <c r="E60" s="16">
        <f>IF('ر-فرعي'!G83&gt;0,'ر-فرعي'!G83,"")</f>
        <v>10474</v>
      </c>
      <c r="F60" s="147">
        <f>IF('ر-فرعي'!H83&gt;0,'ر-فرعي'!H83,"")</f>
        <v>15000</v>
      </c>
      <c r="G60" s="112">
        <f t="shared" si="2"/>
        <v>0.5</v>
      </c>
    </row>
    <row r="61" spans="2:7" x14ac:dyDescent="0.2">
      <c r="B61" s="30">
        <f>IF('ر-فرعي'!D84&gt;0,'ر-فرعي'!D84,"")</f>
        <v>10203002</v>
      </c>
      <c r="C61" s="18" t="str">
        <f>IF('ر-فرعي'!E84&gt;0,'ر-فرعي'!E84,"")</f>
        <v>ايرادات سكن العاملين</v>
      </c>
      <c r="D61" s="16">
        <f>IF('ر-فرعي'!F84&gt;0,'ر-فرعي'!F84,"")</f>
        <v>1000</v>
      </c>
      <c r="E61" s="16">
        <f>IF('ر-فرعي'!G84&gt;0,'ر-فرعي'!G84,"")</f>
        <v>397.25</v>
      </c>
      <c r="F61" s="147">
        <f>IF('ر-فرعي'!H84&gt;0,'ر-فرعي'!H84,"")</f>
        <v>1000</v>
      </c>
      <c r="G61" s="112">
        <f t="shared" si="2"/>
        <v>1</v>
      </c>
    </row>
    <row r="62" spans="2:7" x14ac:dyDescent="0.2">
      <c r="B62" s="30">
        <f>IF('ر-فرعي'!D85&gt;0,'ر-فرعي'!D85,"")</f>
        <v>10203003</v>
      </c>
      <c r="C62" s="18" t="str">
        <f>IF('ر-فرعي'!E85&gt;0,'ر-فرعي'!E85,"")</f>
        <v>ايرادات سكن السقاية والرفادة</v>
      </c>
      <c r="D62" s="16">
        <f>IF('ر-فرعي'!F85&gt;0,'ر-فرعي'!F85,"")</f>
        <v>2500</v>
      </c>
      <c r="E62" s="16">
        <f>IF('ر-فرعي'!G85&gt;0,'ر-فرعي'!G85,"")</f>
        <v>3670.6529999999998</v>
      </c>
      <c r="F62" s="147">
        <f>IF('ر-فرعي'!H85&gt;0,'ر-فرعي'!H85,"")</f>
        <v>3000</v>
      </c>
      <c r="G62" s="112">
        <f t="shared" si="2"/>
        <v>1.2</v>
      </c>
    </row>
    <row r="63" spans="2:7" x14ac:dyDescent="0.2">
      <c r="B63" s="30">
        <f>IF('ر-فرعي'!D86&gt;0,'ر-فرعي'!D86,"")</f>
        <v>10203004</v>
      </c>
      <c r="C63" s="18" t="str">
        <f>IF('ر-فرعي'!E86&gt;0,'ر-فرعي'!E86,"")</f>
        <v>ايرادات سكن الطلاب</v>
      </c>
      <c r="D63" s="16">
        <f>IF('ر-فرعي'!F86&gt;0,'ر-فرعي'!F86,"")</f>
        <v>3000</v>
      </c>
      <c r="E63" s="16">
        <f>IF('ر-فرعي'!G86&gt;0,'ر-فرعي'!G86,"")</f>
        <v>3671.0129999999999</v>
      </c>
      <c r="F63" s="147">
        <f>IF('ر-فرعي'!H86&gt;0,'ر-فرعي'!H86,"")</f>
        <v>3000</v>
      </c>
      <c r="G63" s="112">
        <f t="shared" si="2"/>
        <v>1</v>
      </c>
    </row>
    <row r="64" spans="2:7" x14ac:dyDescent="0.2">
      <c r="B64" s="30">
        <f>IF('ر-فرعي'!D87&gt;0,'ر-فرعي'!D87,"")</f>
        <v>10203005</v>
      </c>
      <c r="C64" s="18" t="str">
        <f>IF('ر-فرعي'!E87&gt;0,'ر-فرعي'!E87,"")</f>
        <v>ايرادات الوحدات السكنية</v>
      </c>
      <c r="D64" s="16">
        <f>IF('ر-فرعي'!F87&gt;0,'ر-فرعي'!F87,"")</f>
        <v>20000</v>
      </c>
      <c r="E64" s="16">
        <f>IF('ر-فرعي'!G87&gt;0,'ر-فرعي'!G87,"")</f>
        <v>18950</v>
      </c>
      <c r="F64" s="147">
        <f>IF('ر-فرعي'!H87&gt;0,'ر-فرعي'!H87,"")</f>
        <v>20000</v>
      </c>
      <c r="G64" s="112">
        <f t="shared" si="2"/>
        <v>1</v>
      </c>
    </row>
    <row r="65" spans="2:7" x14ac:dyDescent="0.2">
      <c r="B65" s="30">
        <f>IF('ر-فرعي'!D90&gt;0,'ر-فرعي'!D90,"")</f>
        <v>10204002</v>
      </c>
      <c r="C65" s="18" t="str">
        <f>IF('ر-فرعي'!E90&gt;0,'ر-فرعي'!E90,"")</f>
        <v>بدل ايجار مواقع خدمات التصوير والنسخ</v>
      </c>
      <c r="D65" s="16">
        <f>IF('ر-فرعي'!F90&gt;0,'ر-فرعي'!F90,"")</f>
        <v>60000</v>
      </c>
      <c r="E65" s="16">
        <f>IF('ر-فرعي'!G90&gt;0,'ر-فرعي'!G90,"")</f>
        <v>73400</v>
      </c>
      <c r="F65" s="147">
        <f>IF('ر-فرعي'!H90&gt;0,'ر-فرعي'!H90,"")</f>
        <v>60000</v>
      </c>
      <c r="G65" s="112">
        <f t="shared" si="2"/>
        <v>1</v>
      </c>
    </row>
    <row r="66" spans="2:7" x14ac:dyDescent="0.2">
      <c r="B66" s="30">
        <f>IF('ر-فرعي'!D91&gt;0,'ر-فرعي'!D91,"")</f>
        <v>10204003</v>
      </c>
      <c r="C66" s="18" t="str">
        <f>IF('ر-فرعي'!E91&gt;0,'ر-فرعي'!E91,"")</f>
        <v>بدل ايجار مباني ومواقع أخرى ..</v>
      </c>
      <c r="D66" s="16">
        <f>IF('ر-فرعي'!F91&gt;0,'ر-فرعي'!F91,"")</f>
        <v>15000</v>
      </c>
      <c r="E66" s="16">
        <f>IF('ر-فرعي'!G91&gt;0,'ر-فرعي'!G91,"")</f>
        <v>39950</v>
      </c>
      <c r="F66" s="147">
        <f>IF('ر-فرعي'!H91&gt;0,'ر-فرعي'!H91,"")</f>
        <v>40000</v>
      </c>
      <c r="G66" s="112">
        <f t="shared" si="2"/>
        <v>2.6666666666666665</v>
      </c>
    </row>
    <row r="67" spans="2:7" x14ac:dyDescent="0.2">
      <c r="B67" s="30">
        <f>IF('ر-فرعي'!D92&gt;0,'ر-فرعي'!D92,"")</f>
        <v>10204004</v>
      </c>
      <c r="C67" s="18" t="str">
        <f>IF('ر-فرعي'!E92&gt;0,'ر-فرعي'!E92,"")</f>
        <v>ايراد بدل ايجار السوق التجاري</v>
      </c>
      <c r="D67" s="16">
        <f>IF('ر-فرعي'!F92&gt;0,'ر-فرعي'!F92,"")</f>
        <v>120000</v>
      </c>
      <c r="E67" s="16">
        <f>IF('ر-فرعي'!G92&gt;0,'ر-فرعي'!G92,"")</f>
        <v>68909</v>
      </c>
      <c r="F67" s="147">
        <f>IF('ر-فرعي'!H92&gt;0,'ر-فرعي'!H92,"")</f>
        <v>120000</v>
      </c>
      <c r="G67" s="112">
        <f t="shared" si="2"/>
        <v>1</v>
      </c>
    </row>
    <row r="68" spans="2:7" x14ac:dyDescent="0.2">
      <c r="B68" s="30">
        <f>IF('ر-فرعي'!D93&gt;0,'ر-فرعي'!D93,"")</f>
        <v>10204007</v>
      </c>
      <c r="C68" s="18" t="str">
        <f>IF('ر-فرعي'!E93&gt;0,'ر-فرعي'!E93,"")</f>
        <v>بدل ايجار مبنى الصيدلية</v>
      </c>
      <c r="D68" s="16">
        <f>IF('ر-فرعي'!F93&gt;0,'ر-فرعي'!F93,"")</f>
        <v>2000</v>
      </c>
      <c r="E68" s="16">
        <f>IF('ر-فرعي'!G93&gt;0,'ر-فرعي'!G93,"")</f>
        <v>1000</v>
      </c>
      <c r="F68" s="147">
        <f>IF('ر-فرعي'!H93&gt;0,'ر-فرعي'!H93,"")</f>
        <v>2000</v>
      </c>
      <c r="G68" s="112">
        <f t="shared" si="2"/>
        <v>1</v>
      </c>
    </row>
    <row r="69" spans="2:7" x14ac:dyDescent="0.2">
      <c r="B69" s="30">
        <f>IF('ر-فرعي'!D94&gt;0,'ر-فرعي'!D94,"")</f>
        <v>10204009</v>
      </c>
      <c r="C69" s="18" t="str">
        <f>IF('ر-فرعي'!E94&gt;0,'ر-فرعي'!E94,"")</f>
        <v>بدل تاجير مواقع بيع الكتب والمقررات الدراسية</v>
      </c>
      <c r="D69" s="16">
        <f>IF('ر-فرعي'!F94&gt;0,'ر-فرعي'!F94,"")</f>
        <v>7000</v>
      </c>
      <c r="E69" s="16" t="str">
        <f>IF('ر-فرعي'!G94&gt;0,'ر-فرعي'!G94,"")</f>
        <v/>
      </c>
      <c r="F69" s="147">
        <f>IF('ر-فرعي'!H94&gt;0,'ر-فرعي'!H94,"")</f>
        <v>7000</v>
      </c>
      <c r="G69" s="112">
        <f t="shared" si="2"/>
        <v>1</v>
      </c>
    </row>
    <row r="70" spans="2:7" x14ac:dyDescent="0.2">
      <c r="B70" s="30">
        <f>IF('ر-فرعي'!D95&gt;0,'ر-فرعي'!D95,"")</f>
        <v>10204019</v>
      </c>
      <c r="C70" s="18" t="str">
        <f>IF('ر-فرعي'!E95&gt;0,'ر-فرعي'!E95,"")</f>
        <v>إيراد بدل إيجار المطاعم</v>
      </c>
      <c r="D70" s="16">
        <f>IF('ر-فرعي'!F95&gt;0,'ر-فرعي'!F95,"")</f>
        <v>42000</v>
      </c>
      <c r="E70" s="16">
        <f>IF('ر-فرعي'!G95&gt;0,'ر-فرعي'!G95,"")</f>
        <v>3991</v>
      </c>
      <c r="F70" s="147">
        <f>IF('ر-فرعي'!H95&gt;0,'ر-فرعي'!H95,"")</f>
        <v>42000</v>
      </c>
      <c r="G70" s="112">
        <f t="shared" si="2"/>
        <v>1</v>
      </c>
    </row>
    <row r="71" spans="2:7" x14ac:dyDescent="0.2">
      <c r="B71" s="30">
        <f>IF('ر-فرعي'!D96&gt;0,'ر-فرعي'!D96,"")</f>
        <v>10204020</v>
      </c>
      <c r="C71" s="18" t="str">
        <f>IF('ر-فرعي'!E96&gt;0,'ر-فرعي'!E96,"")</f>
        <v>إيراد بدل إيجار الكافتيريات</v>
      </c>
      <c r="D71" s="16">
        <f>IF('ر-فرعي'!F96&gt;0,'ر-فرعي'!F96,"")</f>
        <v>117000</v>
      </c>
      <c r="E71" s="16">
        <f>IF('ر-فرعي'!G96&gt;0,'ر-فرعي'!G96,"")</f>
        <v>57555</v>
      </c>
      <c r="F71" s="147">
        <f>IF('ر-فرعي'!H96&gt;0,'ر-فرعي'!H96,"")</f>
        <v>117000</v>
      </c>
      <c r="G71" s="112">
        <f t="shared" si="2"/>
        <v>1</v>
      </c>
    </row>
    <row r="72" spans="2:7" x14ac:dyDescent="0.2">
      <c r="B72" s="30">
        <f>IF('ر-فرعي'!D97&gt;0,'ر-فرعي'!D97,"")</f>
        <v>10204021</v>
      </c>
      <c r="C72" s="18" t="str">
        <f>IF('ر-فرعي'!E97&gt;0,'ر-فرعي'!E97,"")</f>
        <v>إيراد بدل إيجار الأكشاك</v>
      </c>
      <c r="D72" s="16">
        <f>IF('ر-فرعي'!F97&gt;0,'ر-فرعي'!F97,"")</f>
        <v>80000</v>
      </c>
      <c r="E72" s="16">
        <f>IF('ر-فرعي'!G97&gt;0,'ر-فرعي'!G97,"")</f>
        <v>92216.5</v>
      </c>
      <c r="F72" s="147">
        <f>IF('ر-فرعي'!H97&gt;0,'ر-فرعي'!H97,"")</f>
        <v>80000</v>
      </c>
      <c r="G72" s="112">
        <f t="shared" si="2"/>
        <v>1</v>
      </c>
    </row>
    <row r="73" spans="2:7" x14ac:dyDescent="0.2">
      <c r="B73" s="30">
        <f>IF('ر-فرعي'!D98&gt;0,'ر-فرعي'!D98,"")</f>
        <v>10204022</v>
      </c>
      <c r="C73" s="18" t="str">
        <f>IF('ر-فرعي'!E98&gt;0,'ر-فرعي'!E98,"")</f>
        <v>إيراد بدل إيجار أبراج الاتصالات</v>
      </c>
      <c r="D73" s="16">
        <f>IF('ر-فرعي'!F98&gt;0,'ر-فرعي'!F98,"")</f>
        <v>50000</v>
      </c>
      <c r="E73" s="16">
        <f>IF('ر-فرعي'!G98&gt;0,'ر-فرعي'!G98,"")</f>
        <v>30000</v>
      </c>
      <c r="F73" s="147">
        <f>IF('ر-فرعي'!H98&gt;0,'ر-فرعي'!H98,"")</f>
        <v>50000</v>
      </c>
      <c r="G73" s="112">
        <f t="shared" si="2"/>
        <v>1</v>
      </c>
    </row>
    <row r="74" spans="2:7" x14ac:dyDescent="0.2">
      <c r="B74" s="30">
        <f>IF('ر-فرعي'!D101&gt;0,'ر-فرعي'!D101,"")</f>
        <v>10205001</v>
      </c>
      <c r="C74" s="18" t="str">
        <f>IF('ر-فرعي'!E101&gt;0,'ر-فرعي'!E101,"")</f>
        <v>إيرادات بدل ايجار مواقع مستحقة عن سنوات سابقة</v>
      </c>
      <c r="D74" s="16">
        <f>IF('ر-فرعي'!F101&gt;0,'ر-فرعي'!F101,"")</f>
        <v>50000</v>
      </c>
      <c r="E74" s="16">
        <f>IF('ر-فرعي'!G101&gt;0,'ر-فرعي'!G101,"")</f>
        <v>284213.51899999997</v>
      </c>
      <c r="F74" s="147">
        <f>IF('ر-فرعي'!H101&gt;0,'ر-فرعي'!H101,"")</f>
        <v>100000</v>
      </c>
      <c r="G74" s="112">
        <f t="shared" si="2"/>
        <v>2</v>
      </c>
    </row>
    <row r="75" spans="2:7" s="46" customFormat="1" x14ac:dyDescent="0.2">
      <c r="B75" s="31">
        <f>IF('ر-فرعي'!D104&gt;0,'ر-فرعي'!D104,"")</f>
        <v>10209001</v>
      </c>
      <c r="C75" s="130" t="str">
        <f>IF('ر-فرعي'!E104&gt;0,'ر-فرعي'!E104,"")</f>
        <v>أرباح مشروع الطاقة الشمسية</v>
      </c>
      <c r="D75" s="248">
        <f>IF('ر-فرعي'!F104&gt;0,'ر-فرعي'!F104,"")</f>
        <v>205750</v>
      </c>
      <c r="E75" s="248" t="str">
        <f>IF('ر-فرعي'!G104&gt;0,'ر-فرعي'!G104,"")</f>
        <v/>
      </c>
      <c r="F75" s="236" t="str">
        <f>IF('ر-فرعي'!H104&gt;0,'ر-فرعي'!H104,"")</f>
        <v/>
      </c>
      <c r="G75" s="112" t="str">
        <f t="shared" si="2"/>
        <v/>
      </c>
    </row>
    <row r="76" spans="2:7" s="46" customFormat="1" x14ac:dyDescent="0.2">
      <c r="B76" s="31">
        <f>IF('ر-فرعي'!D105&gt;0,'ر-فرعي'!D105,"")</f>
        <v>10209002</v>
      </c>
      <c r="C76" s="130" t="str">
        <f>IF('ر-فرعي'!E105&gt;0,'ر-فرعي'!E105,"")</f>
        <v>تاجير اراضي الجامعة / الطاقة الشمسية</v>
      </c>
      <c r="D76" s="248">
        <f>IF('ر-فرعي'!F105&gt;0,'ر-فرعي'!F105,"")</f>
        <v>137500</v>
      </c>
      <c r="E76" s="248" t="str">
        <f>IF('ر-فرعي'!G105&gt;0,'ر-فرعي'!G105,"")</f>
        <v/>
      </c>
      <c r="F76" s="236" t="str">
        <f>IF('ر-فرعي'!H105&gt;0,'ر-فرعي'!H105,"")</f>
        <v/>
      </c>
      <c r="G76" s="112" t="str">
        <f t="shared" si="2"/>
        <v/>
      </c>
    </row>
    <row r="77" spans="2:7" x14ac:dyDescent="0.2">
      <c r="B77" s="438" t="str">
        <f>'ر-فرعي'!B107:E107</f>
        <v>مجموع الفصل الأول: ريع الأموال المنقولة وغير المنقولة</v>
      </c>
      <c r="C77" s="439"/>
      <c r="D77" s="144">
        <f>SUM(D59:D76)</f>
        <v>943050</v>
      </c>
      <c r="E77" s="144">
        <f t="shared" ref="E77" si="3">SUM(E59:E76)</f>
        <v>688402.82499999995</v>
      </c>
      <c r="F77" s="144">
        <f>SUM(F59:F76)</f>
        <v>660300</v>
      </c>
      <c r="G77" s="112">
        <f t="shared" si="2"/>
        <v>0.70017496421186576</v>
      </c>
    </row>
    <row r="78" spans="2:7" x14ac:dyDescent="0.2">
      <c r="B78" s="468" t="str">
        <f>'ر-فرعي'!B108:I108</f>
        <v xml:space="preserve">الفصل الثاني: إيرادات متنوعة ومراكز علمية وسنين سابقة </v>
      </c>
      <c r="C78" s="469"/>
      <c r="D78" s="469"/>
      <c r="E78" s="469"/>
      <c r="F78" s="469"/>
      <c r="G78" s="470"/>
    </row>
    <row r="79" spans="2:7" x14ac:dyDescent="0.2">
      <c r="B79" s="30">
        <f>IF('ر-فرعي'!D110&gt;0,'ر-فرعي'!D110,"")</f>
        <v>11001002</v>
      </c>
      <c r="C79" s="18" t="str">
        <f>IF('ر-فرعي'!E110&gt;0,'ر-فرعي'!E110,"")</f>
        <v>ايرادات شعبة النقل</v>
      </c>
      <c r="D79" s="16">
        <f>IF('ر-فرعي'!F110&gt;0,'ر-فرعي'!F110,"")</f>
        <v>7000</v>
      </c>
      <c r="E79" s="16">
        <f>IF('ر-فرعي'!G110&gt;0,'ر-فرعي'!G110,"")</f>
        <v>2170</v>
      </c>
      <c r="F79" s="147">
        <f>IF('ر-فرعي'!H110&gt;0,'ر-فرعي'!H110,"")</f>
        <v>5000</v>
      </c>
      <c r="G79" s="112">
        <f t="shared" ref="G79:G102" si="4">IFERROR(F79/D79,"")</f>
        <v>0.7142857142857143</v>
      </c>
    </row>
    <row r="80" spans="2:7" x14ac:dyDescent="0.2">
      <c r="B80" s="30">
        <f>IF('ر-فرعي'!D111&gt;0,'ر-فرعي'!D111,"")</f>
        <v>11001004</v>
      </c>
      <c r="C80" s="18" t="str">
        <f>IF('ر-فرعي'!E111&gt;0,'ر-فرعي'!E111,"")</f>
        <v>ايرادات اثمان نسخ عطاءات</v>
      </c>
      <c r="D80" s="16">
        <f>IF('ر-فرعي'!F111&gt;0,'ر-فرعي'!F111,"")</f>
        <v>5000</v>
      </c>
      <c r="E80" s="16">
        <f>IF('ر-فرعي'!G111&gt;0,'ر-فرعي'!G111,"")</f>
        <v>2845</v>
      </c>
      <c r="F80" s="147">
        <f>IF('ر-فرعي'!H111&gt;0,'ر-فرعي'!H111,"")</f>
        <v>5000</v>
      </c>
      <c r="G80" s="112">
        <f t="shared" si="4"/>
        <v>1</v>
      </c>
    </row>
    <row r="81" spans="2:7" x14ac:dyDescent="0.2">
      <c r="B81" s="30">
        <f>IF('ر-فرعي'!D112&gt;0,'ر-فرعي'!D112,"")</f>
        <v>11001010</v>
      </c>
      <c r="C81" s="113" t="str">
        <f>IF('ر-فرعي'!E112&gt;0,'ر-فرعي'!E112,"")</f>
        <v>إيرادات بدل اشتراكات التأمين الصحي للعاملين</v>
      </c>
      <c r="D81" s="16">
        <f>IF('ر-فرعي'!F112&gt;0,'ر-فرعي'!F112,"")</f>
        <v>150000</v>
      </c>
      <c r="E81" s="16">
        <f>IF('ر-فرعي'!G112&gt;0,'ر-فرعي'!G112,"")</f>
        <v>155942.185</v>
      </c>
      <c r="F81" s="147">
        <f>IF('ر-فرعي'!H112&gt;0,'ر-فرعي'!H112,"")</f>
        <v>160000</v>
      </c>
      <c r="G81" s="112">
        <f t="shared" si="4"/>
        <v>1.0666666666666667</v>
      </c>
    </row>
    <row r="82" spans="2:7" x14ac:dyDescent="0.2">
      <c r="B82" s="30">
        <f>IF('ر-فرعي'!D113&gt;0,'ر-فرعي'!D113,"")</f>
        <v>11001011</v>
      </c>
      <c r="C82" s="18" t="str">
        <f>IF('ر-فرعي'!E113&gt;0,'ر-فرعي'!E113,"")</f>
        <v>ايرادات واشتراك اصدارات الجامعة</v>
      </c>
      <c r="D82" s="16">
        <f>IF('ر-فرعي'!F113&gt;0,'ر-فرعي'!F113,"")</f>
        <v>4000</v>
      </c>
      <c r="E82" s="16">
        <f>IF('ر-فرعي'!G113&gt;0,'ر-فرعي'!G113,"")</f>
        <v>2469</v>
      </c>
      <c r="F82" s="147">
        <f>IF('ر-فرعي'!H113&gt;0,'ر-فرعي'!H113,"")</f>
        <v>4000</v>
      </c>
      <c r="G82" s="112">
        <f t="shared" si="4"/>
        <v>1</v>
      </c>
    </row>
    <row r="83" spans="2:7" x14ac:dyDescent="0.2">
      <c r="B83" s="30">
        <f>IF('ر-فرعي'!D114&gt;0,'ر-فرعي'!D114,"")</f>
        <v>11001013</v>
      </c>
      <c r="C83" s="18" t="str">
        <f>IF('ر-فرعي'!E114&gt;0,'ر-فرعي'!E114,"")</f>
        <v>ايرادات اخرى متنوعه</v>
      </c>
      <c r="D83" s="16">
        <f>IF('ر-فرعي'!F114&gt;0,'ر-فرعي'!F114,"")</f>
        <v>10000</v>
      </c>
      <c r="E83" s="16">
        <f>IF('ر-فرعي'!G114&gt;0,'ر-فرعي'!G114,"")</f>
        <v>57902.627999999997</v>
      </c>
      <c r="F83" s="147">
        <f>IF('ر-فرعي'!H114&gt;0,'ر-فرعي'!H114,"")</f>
        <v>10000</v>
      </c>
      <c r="G83" s="112">
        <f t="shared" si="4"/>
        <v>1</v>
      </c>
    </row>
    <row r="84" spans="2:7" x14ac:dyDescent="0.2">
      <c r="B84" s="30">
        <f>IF('ر-فرعي'!D115&gt;0,'ر-فرعي'!D115,"")</f>
        <v>11001015</v>
      </c>
      <c r="C84" s="18" t="str">
        <f>IF('ر-فرعي'!E115&gt;0,'ر-فرعي'!E115,"")</f>
        <v>ايرادات الهاتف</v>
      </c>
      <c r="D84" s="16">
        <f>IF('ر-فرعي'!F115&gt;0,'ر-فرعي'!F115,"")</f>
        <v>2000</v>
      </c>
      <c r="E84" s="16">
        <f>IF('ر-فرعي'!G115&gt;0,'ر-فرعي'!G115,"")</f>
        <v>362.952</v>
      </c>
      <c r="F84" s="147">
        <f>IF('ر-فرعي'!H115&gt;0,'ر-فرعي'!H115,"")</f>
        <v>2000</v>
      </c>
      <c r="G84" s="112">
        <f t="shared" si="4"/>
        <v>1</v>
      </c>
    </row>
    <row r="85" spans="2:7" x14ac:dyDescent="0.2">
      <c r="B85" s="30">
        <f>IF('ر-فرعي'!D116&gt;0,'ر-فرعي'!D116,"")</f>
        <v>11001017</v>
      </c>
      <c r="C85" s="18" t="str">
        <f>IF('ر-فرعي'!E116&gt;0,'ر-فرعي'!E116,"")</f>
        <v>ايرادات عمادة شؤون الطلبة</v>
      </c>
      <c r="D85" s="16">
        <f>IF('ر-فرعي'!F116&gt;0,'ر-فرعي'!F116,"")</f>
        <v>1000</v>
      </c>
      <c r="E85" s="16">
        <f>IF('ر-فرعي'!G116&gt;0,'ر-فرعي'!G116,"")</f>
        <v>2679.7640000000001</v>
      </c>
      <c r="F85" s="147">
        <f>IF('ر-فرعي'!H116&gt;0,'ر-فرعي'!H116,"")</f>
        <v>2000</v>
      </c>
      <c r="G85" s="112">
        <f t="shared" si="4"/>
        <v>2</v>
      </c>
    </row>
    <row r="86" spans="2:7" x14ac:dyDescent="0.2">
      <c r="B86" s="30">
        <f>IF('ر-فرعي'!D117&gt;0,'ر-فرعي'!D117,"")</f>
        <v>11001022</v>
      </c>
      <c r="C86" s="18" t="str">
        <f>IF('ر-فرعي'!E117&gt;0,'ر-فرعي'!E117,"")</f>
        <v>ايرادات سنوات سابقة</v>
      </c>
      <c r="D86" s="16">
        <f>IF('ر-فرعي'!F117&gt;0,'ر-فرعي'!F117,"")</f>
        <v>237500</v>
      </c>
      <c r="E86" s="16">
        <f>IF('ر-فرعي'!G117&gt;0,'ر-فرعي'!G117,"")</f>
        <v>835076.43599999999</v>
      </c>
      <c r="F86" s="147">
        <f>IF('ر-فرعي'!H117&gt;0,'ر-فرعي'!H117,"")</f>
        <v>150000</v>
      </c>
      <c r="G86" s="112">
        <f t="shared" si="4"/>
        <v>0.63157894736842102</v>
      </c>
    </row>
    <row r="87" spans="2:7" x14ac:dyDescent="0.2">
      <c r="B87" s="30">
        <f>IF('ر-فرعي'!D118&gt;0,'ر-فرعي'!D118,"")</f>
        <v>11001023</v>
      </c>
      <c r="C87" s="18" t="str">
        <f>IF('ر-فرعي'!E118&gt;0,'ر-فرعي'!E118,"")</f>
        <v>ايرادات مبيعات منتجات الجامعة</v>
      </c>
      <c r="D87" s="16">
        <f>IF('ر-فرعي'!F118&gt;0,'ر-فرعي'!F118,"")</f>
        <v>10000</v>
      </c>
      <c r="E87" s="16">
        <f>IF('ر-فرعي'!G118&gt;0,'ر-فرعي'!G118,"")</f>
        <v>4191</v>
      </c>
      <c r="F87" s="147">
        <f>IF('ر-فرعي'!H118&gt;0,'ر-فرعي'!H118,"")</f>
        <v>10000</v>
      </c>
      <c r="G87" s="112">
        <f t="shared" si="4"/>
        <v>1</v>
      </c>
    </row>
    <row r="88" spans="2:7" x14ac:dyDescent="0.2">
      <c r="B88" s="30">
        <f>IF('ر-فرعي'!D119&gt;0,'ر-فرعي'!D119,"")</f>
        <v>11001025</v>
      </c>
      <c r="C88" s="18" t="str">
        <f>IF('ر-فرعي'!E119&gt;0,'ر-فرعي'!E119,"")</f>
        <v>ايرادات الروب الجامعي</v>
      </c>
      <c r="D88" s="16">
        <f>IF('ر-فرعي'!F119&gt;0,'ر-فرعي'!F119,"")</f>
        <v>10000</v>
      </c>
      <c r="E88" s="16">
        <f>IF('ر-فرعي'!G119&gt;0,'ر-فرعي'!G119,"")</f>
        <v>1430</v>
      </c>
      <c r="F88" s="147">
        <f>IF('ر-فرعي'!H119&gt;0,'ر-فرعي'!H119,"")</f>
        <v>10000</v>
      </c>
      <c r="G88" s="112">
        <f t="shared" si="4"/>
        <v>1</v>
      </c>
    </row>
    <row r="89" spans="2:7" x14ac:dyDescent="0.2">
      <c r="B89" s="30">
        <f>IF('ر-فرعي'!D120&gt;0,'ر-فرعي'!D120,"")</f>
        <v>11001030</v>
      </c>
      <c r="C89" s="18" t="str">
        <f>IF('ر-فرعي'!E120&gt;0,'ر-فرعي'!E120,"")</f>
        <v>ايرادات بدل غرامات مختلفة ومتنوعة</v>
      </c>
      <c r="D89" s="16">
        <f>IF('ر-فرعي'!F120&gt;0,'ر-فرعي'!F120,"")</f>
        <v>25000</v>
      </c>
      <c r="E89" s="16">
        <f>IF('ر-فرعي'!G120&gt;0,'ر-فرعي'!G120,"")</f>
        <v>7021.6480000000001</v>
      </c>
      <c r="F89" s="147">
        <f>IF('ر-فرعي'!H120&gt;0,'ر-فرعي'!H120,"")</f>
        <v>25000</v>
      </c>
      <c r="G89" s="112">
        <f t="shared" si="4"/>
        <v>1</v>
      </c>
    </row>
    <row r="90" spans="2:7" x14ac:dyDescent="0.2">
      <c r="B90" s="30">
        <f>IF('ر-فرعي'!D121&gt;0,'ر-فرعي'!D121,"")</f>
        <v>11001033</v>
      </c>
      <c r="C90" s="18" t="str">
        <f>IF('ر-فرعي'!E121&gt;0,'ر-فرعي'!E121,"")</f>
        <v>ايرادات تحليل عينات /المختبرات المركزية</v>
      </c>
      <c r="D90" s="16">
        <f>IF('ر-فرعي'!F121&gt;0,'ر-فرعي'!F121,"")</f>
        <v>25000</v>
      </c>
      <c r="E90" s="16">
        <f>IF('ر-فرعي'!G121&gt;0,'ر-فرعي'!G121,"")</f>
        <v>74731.7</v>
      </c>
      <c r="F90" s="147">
        <f>IF('ر-فرعي'!H121&gt;0,'ر-فرعي'!H121,"")</f>
        <v>25000</v>
      </c>
      <c r="G90" s="112">
        <f t="shared" si="4"/>
        <v>1</v>
      </c>
    </row>
    <row r="91" spans="2:7" x14ac:dyDescent="0.2">
      <c r="B91" s="30">
        <f>IF('ر-فرعي'!D122&gt;0,'ر-فرعي'!D122,"")</f>
        <v>11001034</v>
      </c>
      <c r="C91" s="18" t="str">
        <f>IF('ر-فرعي'!E122&gt;0,'ر-فرعي'!E122,"")</f>
        <v>ايرادات المشاغل</v>
      </c>
      <c r="D91" s="16">
        <f>IF('ر-فرعي'!F122&gt;0,'ر-فرعي'!F122,"")</f>
        <v>1000</v>
      </c>
      <c r="E91" s="16" t="str">
        <f>IF('ر-فرعي'!G122&gt;0,'ر-فرعي'!G122,"")</f>
        <v/>
      </c>
      <c r="F91" s="147">
        <f>IF('ر-فرعي'!H122&gt;0,'ر-فرعي'!H122,"")</f>
        <v>650</v>
      </c>
      <c r="G91" s="112">
        <f t="shared" si="4"/>
        <v>0.65</v>
      </c>
    </row>
    <row r="92" spans="2:7" x14ac:dyDescent="0.2">
      <c r="B92" s="30">
        <f>IF('ر-فرعي'!D123&gt;0,'ر-فرعي'!D123,"")</f>
        <v>11001035</v>
      </c>
      <c r="C92" s="18" t="str">
        <f>IF('ر-فرعي'!E123&gt;0,'ر-فرعي'!E123,"")</f>
        <v>ايرادات الكهرباء</v>
      </c>
      <c r="D92" s="16">
        <f>IF('ر-فرعي'!F123&gt;0,'ر-فرعي'!F123,"")</f>
        <v>35000</v>
      </c>
      <c r="E92" s="16">
        <f>IF('ر-فرعي'!G123&gt;0,'ر-فرعي'!G123,"")</f>
        <v>27664.624</v>
      </c>
      <c r="F92" s="147">
        <f>IF('ر-فرعي'!H123&gt;0,'ر-فرعي'!H123,"")</f>
        <v>20000</v>
      </c>
      <c r="G92" s="112">
        <f t="shared" si="4"/>
        <v>0.5714285714285714</v>
      </c>
    </row>
    <row r="93" spans="2:7" x14ac:dyDescent="0.2">
      <c r="B93" s="30">
        <f>IF('ر-فرعي'!D124&gt;0,'ر-فرعي'!D124,"")</f>
        <v>11001036</v>
      </c>
      <c r="C93" s="18" t="str">
        <f>IF('ر-فرعي'!E124&gt;0,'ر-فرعي'!E124,"")</f>
        <v>ايرادات الماء</v>
      </c>
      <c r="D93" s="16">
        <f>IF('ر-فرعي'!F124&gt;0,'ر-فرعي'!F124,"")</f>
        <v>2500</v>
      </c>
      <c r="E93" s="16">
        <f>IF('ر-فرعي'!G124&gt;0,'ر-فرعي'!G124,"")</f>
        <v>2075.5</v>
      </c>
      <c r="F93" s="147">
        <f>IF('ر-فرعي'!H124&gt;0,'ر-فرعي'!H124,"")</f>
        <v>2500</v>
      </c>
      <c r="G93" s="112">
        <f t="shared" si="4"/>
        <v>1</v>
      </c>
    </row>
    <row r="94" spans="2:7" s="46" customFormat="1" x14ac:dyDescent="0.2">
      <c r="B94" s="30">
        <f>IF('ر-فرعي'!D125&gt;0,'ر-فرعي'!D125,"")</f>
        <v>11001038</v>
      </c>
      <c r="C94" s="65" t="str">
        <f>IF('ر-فرعي'!E125&gt;0,'ر-فرعي'!E125,"")</f>
        <v>ايرادات الاذاعة</v>
      </c>
      <c r="D94" s="16">
        <f>IF('ر-فرعي'!F125&gt;0,'ر-فرعي'!F125,"")</f>
        <v>10000</v>
      </c>
      <c r="E94" s="16" t="str">
        <f>IF('ر-فرعي'!G125&gt;0,'ر-فرعي'!G125,"")</f>
        <v/>
      </c>
      <c r="F94" s="147">
        <f>IF('ر-فرعي'!H125&gt;0,'ر-فرعي'!H125,"")</f>
        <v>10000</v>
      </c>
      <c r="G94" s="112">
        <f t="shared" si="4"/>
        <v>1</v>
      </c>
    </row>
    <row r="95" spans="2:7" s="46" customFormat="1" x14ac:dyDescent="0.2">
      <c r="B95" s="127" t="str">
        <f>IF('ر-فرعي'!D126&gt;0,'ر-فرعي'!D126,"")</f>
        <v/>
      </c>
      <c r="C95" s="63" t="str">
        <f>IF('ر-فرعي'!E126&gt;0,'ر-فرعي'!E126,"")</f>
        <v>ايرادات النشر في المجلات العلمية</v>
      </c>
      <c r="D95" s="248" t="str">
        <f>IF('ر-فرعي'!F126&gt;0,'ر-فرعي'!F126,"")</f>
        <v/>
      </c>
      <c r="E95" s="248" t="str">
        <f>IF('ر-فرعي'!G126&gt;0,'ر-فرعي'!G126,"")</f>
        <v/>
      </c>
      <c r="F95" s="147">
        <f>IF('ر-فرعي'!H126&gt;0,'ر-فرعي'!H126,"")</f>
        <v>5000</v>
      </c>
      <c r="G95" s="112" t="str">
        <f t="shared" si="4"/>
        <v/>
      </c>
    </row>
    <row r="96" spans="2:7" s="46" customFormat="1" x14ac:dyDescent="0.2">
      <c r="B96" s="127" t="str">
        <f>IF('ر-فرعي'!D127&gt;0,'ر-فرعي'!D127,"")</f>
        <v/>
      </c>
      <c r="C96" s="63" t="str">
        <f>IF('ر-فرعي'!E127&gt;0,'ر-فرعي'!E127,"")</f>
        <v>ايرادات غرامات المجلات العلمية</v>
      </c>
      <c r="D96" s="248" t="str">
        <f>IF('ر-فرعي'!F127&gt;0,'ر-فرعي'!F127,"")</f>
        <v/>
      </c>
      <c r="E96" s="248" t="str">
        <f>IF('ر-فرعي'!G127&gt;0,'ر-فرعي'!G127,"")</f>
        <v/>
      </c>
      <c r="F96" s="147">
        <f>IF('ر-فرعي'!H127&gt;0,'ر-فرعي'!H127,"")</f>
        <v>5000</v>
      </c>
      <c r="G96" s="112" t="str">
        <f t="shared" si="4"/>
        <v/>
      </c>
    </row>
    <row r="97" spans="2:7" s="46" customFormat="1" x14ac:dyDescent="0.2">
      <c r="B97" s="127" t="str">
        <f>IF('ر-فرعي'!D128&gt;0,'ر-فرعي'!D128,"")</f>
        <v/>
      </c>
      <c r="C97" s="63" t="str">
        <f>IF('ر-فرعي'!E128&gt;0,'ر-فرعي'!E128,"")</f>
        <v>بدل رواتب موظفي صندوق الاستثمار وملحقاتها (نهاية الخدمة، الإدخار)</v>
      </c>
      <c r="D97" s="248" t="str">
        <f>IF('ر-فرعي'!F128&gt;0,'ر-فرعي'!F128,"")</f>
        <v/>
      </c>
      <c r="E97" s="248" t="str">
        <f>IF('ر-فرعي'!G128&gt;0,'ر-فرعي'!G128,"")</f>
        <v/>
      </c>
      <c r="F97" s="147">
        <f>IF('ر-فرعي'!H128&gt;0,'ر-فرعي'!H128,"")</f>
        <v>90000</v>
      </c>
      <c r="G97" s="112" t="str">
        <f t="shared" si="4"/>
        <v/>
      </c>
    </row>
    <row r="98" spans="2:7" x14ac:dyDescent="0.2">
      <c r="B98" s="30">
        <f>IF('ر-فرعي'!D131&gt;0,'ر-فرعي'!D131,"")</f>
        <v>11002001</v>
      </c>
      <c r="C98" s="18" t="str">
        <f>IF('ر-فرعي'!E131&gt;0,'ر-فرعي'!E131,"")</f>
        <v>ايرادات مركز اللغات</v>
      </c>
      <c r="D98" s="16">
        <f>IF('ر-فرعي'!F131&gt;0,'ر-فرعي'!F131,"")</f>
        <v>110000</v>
      </c>
      <c r="E98" s="16">
        <f>IF('ر-فرعي'!G131&gt;0,'ر-فرعي'!G131,"")</f>
        <v>144599.09</v>
      </c>
      <c r="F98" s="147">
        <f>IF('ر-فرعي'!H131&gt;0,'ر-فرعي'!H131,"")</f>
        <v>150000</v>
      </c>
      <c r="G98" s="112">
        <f t="shared" si="4"/>
        <v>1.3636363636363635</v>
      </c>
    </row>
    <row r="99" spans="2:7" x14ac:dyDescent="0.2">
      <c r="B99" s="30">
        <f>IF('ر-فرعي'!D134&gt;0,'ر-فرعي'!D134,"")</f>
        <v>11003004</v>
      </c>
      <c r="C99" s="18" t="str">
        <f>IF('ر-فرعي'!E134&gt;0,'ر-فرعي'!E134,"")</f>
        <v>ايرادات مركز الاستشارات والخدمات الفنية وتنمية</v>
      </c>
      <c r="D99" s="16">
        <f>IF('ر-فرعي'!F134&gt;0,'ر-فرعي'!F134,"")</f>
        <v>50000</v>
      </c>
      <c r="E99" s="16">
        <f>IF('ر-فرعي'!G134&gt;0,'ر-فرعي'!G134,"")</f>
        <v>50116.25</v>
      </c>
      <c r="F99" s="147">
        <f>IF('ر-فرعي'!H134&gt;0,'ر-فرعي'!H134,"")</f>
        <v>50000</v>
      </c>
      <c r="G99" s="112">
        <f t="shared" si="4"/>
        <v>1</v>
      </c>
    </row>
    <row r="100" spans="2:7" x14ac:dyDescent="0.2">
      <c r="B100" s="30">
        <f>IF('ر-فرعي'!D137&gt;0,'ر-فرعي'!D137,"")</f>
        <v>11007001</v>
      </c>
      <c r="C100" s="18" t="str">
        <f>IF('ر-فرعي'!E137&gt;0,'ر-فرعي'!E137,"")</f>
        <v>وحدة الدراسات العمانية</v>
      </c>
      <c r="D100" s="16">
        <f>IF('ر-فرعي'!F137&gt;0,'ر-فرعي'!F137,"")</f>
        <v>100000</v>
      </c>
      <c r="E100" s="16">
        <f>IF('ر-فرعي'!G137&gt;0,'ر-فرعي'!G137,"")</f>
        <v>100000</v>
      </c>
      <c r="F100" s="147">
        <f>IF('ر-فرعي'!H137&gt;0,'ر-فرعي'!H137,"")</f>
        <v>100000</v>
      </c>
      <c r="G100" s="112">
        <f t="shared" si="4"/>
        <v>1</v>
      </c>
    </row>
    <row r="101" spans="2:7" x14ac:dyDescent="0.2">
      <c r="B101" s="438" t="str">
        <f>'ر-فرعي'!B139:E139</f>
        <v>مجموع الفصل الثاني: إيرادات متنوعة ومراكز علمية وسنين سابقة</v>
      </c>
      <c r="C101" s="439"/>
      <c r="D101" s="144">
        <f>SUM(D79:D100)</f>
        <v>795000</v>
      </c>
      <c r="E101" s="144">
        <f>SUM(E79:E100)</f>
        <v>1471277.777</v>
      </c>
      <c r="F101" s="144">
        <f>SUM(F79:F100)</f>
        <v>841150</v>
      </c>
      <c r="G101" s="112">
        <f t="shared" si="4"/>
        <v>1.0580503144654088</v>
      </c>
    </row>
    <row r="102" spans="2:7" x14ac:dyDescent="0.2">
      <c r="B102" s="458" t="str">
        <f>'ر-فرعي'!B140:E140</f>
        <v>مجموع الباب الثالث: الإيرادات الذاتية الأخرى</v>
      </c>
      <c r="C102" s="459"/>
      <c r="D102" s="138">
        <f>D77+D101</f>
        <v>1738050</v>
      </c>
      <c r="E102" s="138">
        <f t="shared" ref="E102:F102" si="5">E77+E101</f>
        <v>2159680.602</v>
      </c>
      <c r="F102" s="138">
        <f t="shared" si="5"/>
        <v>1501450</v>
      </c>
      <c r="G102" s="112">
        <f t="shared" si="4"/>
        <v>0.86387042950432957</v>
      </c>
    </row>
    <row r="103" spans="2:7" x14ac:dyDescent="0.2">
      <c r="B103" s="425" t="str">
        <f>'ر-فرعي'!B141:I141</f>
        <v>الباب الرابع: التبرعات والمنح والهبات</v>
      </c>
      <c r="C103" s="426"/>
      <c r="D103" s="426"/>
      <c r="E103" s="426"/>
      <c r="F103" s="426"/>
      <c r="G103" s="427"/>
    </row>
    <row r="104" spans="2:7" x14ac:dyDescent="0.2">
      <c r="B104" s="468" t="str">
        <f>'ر-فرعي'!B142:I142</f>
        <v>الفصل الأول: التبرعات والمنح والهبات</v>
      </c>
      <c r="C104" s="469"/>
      <c r="D104" s="469"/>
      <c r="E104" s="469"/>
      <c r="F104" s="469"/>
      <c r="G104" s="470"/>
    </row>
    <row r="105" spans="2:7" x14ac:dyDescent="0.2">
      <c r="B105" s="30">
        <f>IF('ر-فرعي'!D144&gt;0,'ر-فرعي'!D144,"")</f>
        <v>12201001</v>
      </c>
      <c r="C105" s="18" t="str">
        <f>IF('ر-فرعي'!E144&gt;0,'ر-فرعي'!E144,"")</f>
        <v>التبرعات والمنح والهبات</v>
      </c>
      <c r="D105" s="16">
        <f>IF('ر-فرعي'!F144&gt;0,'ر-فرعي'!F144,"")</f>
        <v>50000</v>
      </c>
      <c r="E105" s="16">
        <f>IF('ر-فرعي'!G144&gt;0,'ر-فرعي'!G144,"")</f>
        <v>6060</v>
      </c>
      <c r="F105" s="147">
        <f>IF('ر-فرعي'!H144&gt;0,'ر-فرعي'!H144,"")</f>
        <v>50000</v>
      </c>
      <c r="G105" s="112">
        <f>IFERROR(F105/D105,"")</f>
        <v>1</v>
      </c>
    </row>
    <row r="106" spans="2:7" x14ac:dyDescent="0.2">
      <c r="B106" s="30">
        <f>IF('ر-فرعي'!D145&gt;0,'ر-فرعي'!D145,"")</f>
        <v>12201003</v>
      </c>
      <c r="C106" s="18" t="str">
        <f>IF('ر-فرعي'!E145&gt;0,'ر-فرعي'!E145,"")</f>
        <v>مساهمة وزارة التعليم العالي في المجلات العلمية</v>
      </c>
      <c r="D106" s="16">
        <f>IF('ر-فرعي'!F145&gt;0,'ر-فرعي'!F145,"")</f>
        <v>25000</v>
      </c>
      <c r="E106" s="16">
        <f>IF('ر-فرعي'!G145&gt;0,'ر-فرعي'!G145,"")</f>
        <v>24000</v>
      </c>
      <c r="F106" s="147">
        <f>IF('ر-فرعي'!H145&gt;0,'ر-فرعي'!H145,"")</f>
        <v>25000</v>
      </c>
      <c r="G106" s="112">
        <f>IFERROR(F106/D106,"")</f>
        <v>1</v>
      </c>
    </row>
    <row r="107" spans="2:7" x14ac:dyDescent="0.2">
      <c r="B107" s="438" t="str">
        <f>'ر-فرعي'!B147:E147</f>
        <v>مجموع الفصل الأول: التبرعات والمنح والهبات</v>
      </c>
      <c r="C107" s="439"/>
      <c r="D107" s="144">
        <f>SUM(D105:D106)</f>
        <v>75000</v>
      </c>
      <c r="E107" s="144">
        <f>SUM(E105:E106)</f>
        <v>30060</v>
      </c>
      <c r="F107" s="144">
        <f>SUM(F105:F106)</f>
        <v>75000</v>
      </c>
      <c r="G107" s="112">
        <f>IFERROR(F107/D107,"")</f>
        <v>1</v>
      </c>
    </row>
    <row r="108" spans="2:7" x14ac:dyDescent="0.2">
      <c r="B108" s="458" t="str">
        <f>'ر-فرعي'!B148:E148</f>
        <v>مجموع الباب الرابع: التبرعات والمنح والهبات</v>
      </c>
      <c r="C108" s="459"/>
      <c r="D108" s="138">
        <f>D107</f>
        <v>75000</v>
      </c>
      <c r="E108" s="138">
        <f>E107</f>
        <v>30060</v>
      </c>
      <c r="F108" s="138">
        <f>F107</f>
        <v>75000</v>
      </c>
      <c r="G108" s="112">
        <f>IFERROR(F108/D108,"")</f>
        <v>1</v>
      </c>
    </row>
    <row r="109" spans="2:7" x14ac:dyDescent="0.2">
      <c r="B109" s="456" t="s">
        <v>617</v>
      </c>
      <c r="C109" s="457"/>
      <c r="D109" s="192">
        <f>D51+D102+D56+D108</f>
        <v>30380000</v>
      </c>
      <c r="E109" s="192">
        <f>E51+E102+E56+E108</f>
        <v>28570641.376000002</v>
      </c>
      <c r="F109" s="192">
        <f>F51+F102+F56+F108</f>
        <v>30410000</v>
      </c>
      <c r="G109" s="112">
        <f>IFERROR(F109/D109,"")</f>
        <v>1.0009874917709018</v>
      </c>
    </row>
    <row r="110" spans="2:7" x14ac:dyDescent="0.2">
      <c r="B110" s="416" t="s">
        <v>216</v>
      </c>
      <c r="C110" s="417"/>
      <c r="D110" s="417"/>
      <c r="E110" s="417"/>
      <c r="F110" s="417"/>
      <c r="G110" s="418"/>
    </row>
    <row r="111" spans="2:7" x14ac:dyDescent="0.2">
      <c r="B111" s="254">
        <f>IF('ر-فرعي'!D152&gt;0,'ر-فرعي'!D152,"")</f>
        <v>18101001</v>
      </c>
      <c r="C111" s="6" t="str">
        <f>IF('ر-فرعي'!E152&gt;0,'ر-فرعي'!E152,"")</f>
        <v>العجز</v>
      </c>
      <c r="D111" s="248">
        <f>IF('ر-فرعي'!F152&gt;0,'ر-فرعي'!F152,"")</f>
        <v>6000000</v>
      </c>
      <c r="E111" s="248">
        <f>IF('ر-فرعي'!G152&gt;0,'ر-فرعي'!G152,"")</f>
        <v>2084889.5519999973</v>
      </c>
      <c r="F111" s="147">
        <f>IF('ر-فرعي'!H152&gt;0,'ر-فرعي'!H152,"")</f>
        <v>5314000</v>
      </c>
      <c r="G111" s="112">
        <f>IFERROR(F111/D111,"")</f>
        <v>0.88566666666666671</v>
      </c>
    </row>
    <row r="112" spans="2:7" x14ac:dyDescent="0.2">
      <c r="B112" s="465" t="str">
        <f>'ر-فرعي'!B153:E153</f>
        <v>المجموع العام للعجز المقدر بالموازنة</v>
      </c>
      <c r="C112" s="466"/>
      <c r="D112" s="162">
        <f>SUM(D111:D111)</f>
        <v>6000000</v>
      </c>
      <c r="E112" s="162">
        <f>SUM(E111:E111)</f>
        <v>2084889.5519999973</v>
      </c>
      <c r="F112" s="162">
        <f>SUM(F111:F111)</f>
        <v>5314000</v>
      </c>
      <c r="G112" s="112">
        <f>IFERROR(F112/D112,"")</f>
        <v>0.88566666666666671</v>
      </c>
    </row>
    <row r="113" spans="1:7" s="46" customFormat="1" x14ac:dyDescent="0.2">
      <c r="B113" s="436" t="s">
        <v>607</v>
      </c>
      <c r="C113" s="437"/>
      <c r="D113" s="255">
        <f>D109+D112</f>
        <v>36380000</v>
      </c>
      <c r="E113" s="255">
        <f>E109+E112</f>
        <v>30655530.927999999</v>
      </c>
      <c r="F113" s="255">
        <f>F109+F112</f>
        <v>35724000</v>
      </c>
      <c r="G113" s="112">
        <f>IFERROR(F113/D113,"")</f>
        <v>0.98196811434854314</v>
      </c>
    </row>
    <row r="114" spans="1:7" s="46" customFormat="1" x14ac:dyDescent="0.2">
      <c r="B114" s="413"/>
      <c r="C114" s="414"/>
      <c r="D114" s="414"/>
      <c r="E114" s="414"/>
      <c r="F114" s="414"/>
      <c r="G114" s="415"/>
    </row>
    <row r="115" spans="1:7" s="46" customFormat="1" x14ac:dyDescent="0.2">
      <c r="B115" s="430" t="s">
        <v>599</v>
      </c>
      <c r="C115" s="431"/>
      <c r="D115" s="419">
        <v>2019</v>
      </c>
      <c r="E115" s="419"/>
      <c r="F115" s="420">
        <v>2020</v>
      </c>
      <c r="G115" s="421"/>
    </row>
    <row r="116" spans="1:7" s="46" customFormat="1" x14ac:dyDescent="0.2">
      <c r="B116" s="425" t="str">
        <f>'ر-فرعي'!B157:I157</f>
        <v>الباب الأول: المصادر (مصادر التمويل)</v>
      </c>
      <c r="C116" s="426"/>
      <c r="D116" s="426"/>
      <c r="E116" s="426"/>
      <c r="F116" s="426"/>
      <c r="G116" s="427"/>
    </row>
    <row r="117" spans="1:7" s="46" customFormat="1" x14ac:dyDescent="0.2">
      <c r="B117" s="468" t="str">
        <f>'ر-فرعي'!B158:I158</f>
        <v>قروض وتسهيلات بنكية وسلفة وزارة المالية وعجز موازنة التمويل</v>
      </c>
      <c r="C117" s="469"/>
      <c r="D117" s="469"/>
      <c r="E117" s="469"/>
      <c r="F117" s="469"/>
      <c r="G117" s="470"/>
    </row>
    <row r="118" spans="1:7" s="46" customFormat="1" x14ac:dyDescent="0.2">
      <c r="B118" s="30" t="str">
        <f>IF('ر-فرعي'!D160&gt;0,'ر-فرعي'!D160,"")</f>
        <v/>
      </c>
      <c r="C118" s="18" t="str">
        <f>IF('ر-فرعي'!E160&gt;0,'ر-فرعي'!E160,"")</f>
        <v>تسهيلات بنكية/جاري مدين</v>
      </c>
      <c r="D118" s="248">
        <f>IF('ر-فرعي'!F160&gt;0,'ر-فرعي'!F160,"")</f>
        <v>4000000</v>
      </c>
      <c r="E118" s="248">
        <f>IF('ر-فرعي'!G160&gt;0,'ر-فرعي'!G160,"")</f>
        <v>4236841.9970000004</v>
      </c>
      <c r="F118" s="147">
        <f>IF('ر-فرعي'!H160&gt;0,'ر-فرعي'!H160,"")</f>
        <v>7000000</v>
      </c>
      <c r="G118" s="112">
        <f>IFERROR(F118/D118,"")</f>
        <v>1.75</v>
      </c>
    </row>
    <row r="119" spans="1:7" s="46" customFormat="1" x14ac:dyDescent="0.2">
      <c r="B119" s="30"/>
      <c r="C119" s="55" t="str">
        <f>IF('ر-فرعي'!E161&gt;0,'ر-فرعي'!E161,"")</f>
        <v>قرض  بنك القاهرة عمان/ سلفة البنك المركزي للجامعات الحكومية</v>
      </c>
      <c r="D119" s="248" t="str">
        <f>IF('ر-فرعي'!F161&gt;0,'ر-فرعي'!F161,"")</f>
        <v/>
      </c>
      <c r="E119" s="248" t="str">
        <f>IF('ر-فرعي'!G161&gt;0,'ر-فرعي'!G161,"")</f>
        <v/>
      </c>
      <c r="F119" s="147">
        <f>IF('ر-فرعي'!H161&gt;0,'ر-فرعي'!H161,"")</f>
        <v>2000000</v>
      </c>
      <c r="G119" s="112" t="str">
        <f t="shared" ref="G119:G121" si="6">IFERROR(F119/D119,"")</f>
        <v/>
      </c>
    </row>
    <row r="120" spans="1:7" s="46" customFormat="1" x14ac:dyDescent="0.2">
      <c r="B120" s="30"/>
      <c r="C120" s="18" t="str">
        <f>IF('ر-فرعي'!E162&gt;0,'ر-فرعي'!E162,"")</f>
        <v>سلفة وزارة المالية</v>
      </c>
      <c r="D120" s="248">
        <f>IF('ر-فرعي'!F162&gt;0,'ر-فرعي'!F162,"")</f>
        <v>500000</v>
      </c>
      <c r="E120" s="248">
        <f>IF('ر-فرعي'!G162&gt;0,'ر-فرعي'!G162,"")</f>
        <v>500000</v>
      </c>
      <c r="F120" s="147" t="str">
        <f>IF('ر-فرعي'!H162&gt;0,'ر-فرعي'!H162,"")</f>
        <v/>
      </c>
      <c r="G120" s="112" t="str">
        <f t="shared" si="6"/>
        <v/>
      </c>
    </row>
    <row r="121" spans="1:7" s="46" customFormat="1" x14ac:dyDescent="0.2">
      <c r="B121" s="30" t="str">
        <f>IF('ر-فرعي'!D163&gt;0,'ر-فرعي'!D163,"")</f>
        <v/>
      </c>
      <c r="C121" s="18" t="str">
        <f>IF('ر-فرعي'!E163&gt;0,'ر-فرعي'!E163,"")</f>
        <v>عجز موازنة التمويل</v>
      </c>
      <c r="D121" s="248">
        <f>IF('ر-فرعي'!F163&gt;0,'ر-فرعي'!F163,"")</f>
        <v>11500000</v>
      </c>
      <c r="E121" s="248">
        <f>IF('ر-فرعي'!G163&gt;0,'ر-فرعي'!G163,"")</f>
        <v>9053750.3260000013</v>
      </c>
      <c r="F121" s="147">
        <f>IF('ر-فرعي'!H163&gt;0,'ر-فرعي'!H163,"")</f>
        <v>14090000</v>
      </c>
      <c r="G121" s="112">
        <f t="shared" si="6"/>
        <v>1.2252173913043478</v>
      </c>
    </row>
    <row r="122" spans="1:7" s="46" customFormat="1" x14ac:dyDescent="0.2">
      <c r="B122" s="438" t="str">
        <f>'ر-فرعي'!B164:E164</f>
        <v>المجموع العام لعجز موازنة التمويل</v>
      </c>
      <c r="C122" s="439"/>
      <c r="D122" s="144">
        <f>SUM(D118:D121)</f>
        <v>16000000</v>
      </c>
      <c r="E122" s="144">
        <f t="shared" ref="E122:F122" si="7">SUM(E118:E121)</f>
        <v>13790592.323000003</v>
      </c>
      <c r="F122" s="144">
        <f t="shared" si="7"/>
        <v>23090000</v>
      </c>
      <c r="G122" s="112">
        <f>IFERROR(F122/D122,"")</f>
        <v>1.443125</v>
      </c>
    </row>
    <row r="123" spans="1:7" s="46" customFormat="1" x14ac:dyDescent="0.2">
      <c r="B123" s="477" t="s">
        <v>608</v>
      </c>
      <c r="C123" s="478"/>
      <c r="D123" s="256">
        <f>SUM(D122)</f>
        <v>16000000</v>
      </c>
      <c r="E123" s="256">
        <f t="shared" ref="E123:F123" si="8">SUM(E122)</f>
        <v>13790592.323000003</v>
      </c>
      <c r="F123" s="256">
        <f t="shared" si="8"/>
        <v>23090000</v>
      </c>
      <c r="G123" s="112">
        <f>IFERROR(F123/D123,"")</f>
        <v>1.443125</v>
      </c>
    </row>
    <row r="124" spans="1:7" s="46" customFormat="1" x14ac:dyDescent="0.2">
      <c r="B124" s="413"/>
      <c r="C124" s="414"/>
      <c r="D124" s="414"/>
      <c r="E124" s="414"/>
      <c r="F124" s="414"/>
      <c r="G124" s="415"/>
    </row>
    <row r="125" spans="1:7" x14ac:dyDescent="0.2">
      <c r="B125" s="430" t="s">
        <v>611</v>
      </c>
      <c r="C125" s="431"/>
      <c r="D125" s="419">
        <v>2019</v>
      </c>
      <c r="E125" s="419"/>
      <c r="F125" s="420">
        <v>2020</v>
      </c>
      <c r="G125" s="421"/>
    </row>
    <row r="126" spans="1:7" x14ac:dyDescent="0.2">
      <c r="B126" s="425" t="str">
        <f>'ر-فرعي'!B168:I168</f>
        <v>الباب الأول: إيرادات الحسابات النظامية</v>
      </c>
      <c r="C126" s="426"/>
      <c r="D126" s="426"/>
      <c r="E126" s="426"/>
      <c r="F126" s="426"/>
      <c r="G126" s="427"/>
    </row>
    <row r="127" spans="1:7" x14ac:dyDescent="0.2">
      <c r="B127" s="468" t="str">
        <f>'ر-فرعي'!B169:I169</f>
        <v>الفصل الأول: إيرادات مشاريع وأجهزة وتجهيزات مشروطة بالتمويل</v>
      </c>
      <c r="C127" s="469"/>
      <c r="D127" s="469"/>
      <c r="E127" s="469"/>
      <c r="F127" s="469"/>
      <c r="G127" s="470"/>
    </row>
    <row r="128" spans="1:7" x14ac:dyDescent="0.2">
      <c r="A128" s="1"/>
      <c r="B128" s="31">
        <f>IF('ر-فرعي'!D171&gt;0,'ر-فرعي'!D171,"")</f>
        <v>19301002</v>
      </c>
      <c r="C128" s="18" t="str">
        <f>IF('ر-فرعي'!E171&gt;0,'ر-فرعي'!E171,"")</f>
        <v>مشروع بناء كلية الهندسة/ مشروطة بالتمويل</v>
      </c>
      <c r="D128" s="248">
        <f>IF('ر-فرعي'!F171&gt;0,'ر-فرعي'!F171,"")</f>
        <v>1000000</v>
      </c>
      <c r="E128" s="248">
        <f>IF('ر-فرعي'!G171&gt;0,'ر-فرعي'!G171,"")</f>
        <v>738348.18299999996</v>
      </c>
      <c r="F128" s="147">
        <f>IF('ر-فرعي'!H171&gt;0,'ر-فرعي'!H171,"")</f>
        <v>500000</v>
      </c>
      <c r="G128" s="112">
        <f t="shared" ref="G128:G147" si="9">IFERROR(F128/D128,"")</f>
        <v>0.5</v>
      </c>
    </row>
    <row r="129" spans="1:7" x14ac:dyDescent="0.2">
      <c r="A129" s="1"/>
      <c r="B129" s="31">
        <f>IF('ر-فرعي'!D172&gt;0,'ر-فرعي'!D172,"")</f>
        <v>19301005</v>
      </c>
      <c r="C129" s="130" t="str">
        <f>IF('ر-فرعي'!E172&gt;0,'ر-فرعي'!E172,"")</f>
        <v>مشروع بناء ملحق كلية التمريض/ المرحلة الأولى</v>
      </c>
      <c r="D129" s="248">
        <f>IF('ر-فرعي'!F172&gt;0,'ر-فرعي'!F172,"")</f>
        <v>100000</v>
      </c>
      <c r="E129" s="248">
        <f>IF('ر-فرعي'!G172&gt;0,'ر-فرعي'!G172,"")</f>
        <v>130826.83500000001</v>
      </c>
      <c r="F129" s="147" t="str">
        <f>IF('ر-فرعي'!H172&gt;0,'ر-فرعي'!H172,"")</f>
        <v/>
      </c>
      <c r="G129" s="112" t="str">
        <f t="shared" si="9"/>
        <v/>
      </c>
    </row>
    <row r="130" spans="1:7" s="46" customFormat="1" x14ac:dyDescent="0.2">
      <c r="A130" s="1"/>
      <c r="B130" s="31" t="str">
        <f>IF('ر-فرعي'!D173&gt;0,'ر-فرعي'!D173,"")</f>
        <v/>
      </c>
      <c r="C130" s="55" t="str">
        <f>IF('ر-فرعي'!E173&gt;0,'ر-فرعي'!E173,"")</f>
        <v>مشروع بناء ملحق كلية التمريض/ المرحلة الثانية/ مشروطة بالتمويل</v>
      </c>
      <c r="D130" s="248" t="str">
        <f>IF('ر-فرعي'!F173&gt;0,'ر-فرعي'!F173,"")</f>
        <v/>
      </c>
      <c r="E130" s="248" t="str">
        <f>IF('ر-فرعي'!G173&gt;0,'ر-فرعي'!G173,"")</f>
        <v/>
      </c>
      <c r="F130" s="147">
        <f>IF('ر-فرعي'!H173&gt;0,'ر-فرعي'!H173,"")</f>
        <v>1500000</v>
      </c>
      <c r="G130" s="112" t="str">
        <f t="shared" si="9"/>
        <v/>
      </c>
    </row>
    <row r="131" spans="1:7" x14ac:dyDescent="0.2">
      <c r="A131" s="1"/>
      <c r="B131" s="31">
        <f>IF('ر-فرعي'!D174&gt;0,'ر-فرعي'!D174,"")</f>
        <v>19301010</v>
      </c>
      <c r="C131" s="18" t="str">
        <f>IF('ر-فرعي'!E174&gt;0,'ر-فرعي'!E174,"")</f>
        <v>مشروع بناء كلية ادارة المال والاعمال/ مشروطة بالتمويل</v>
      </c>
      <c r="D131" s="248">
        <f>IF('ر-فرعي'!F174&gt;0,'ر-فرعي'!F174,"")</f>
        <v>1000000</v>
      </c>
      <c r="E131" s="248">
        <f>IF('ر-فرعي'!G174&gt;0,'ر-فرعي'!G174,"")</f>
        <v>736027.24600000004</v>
      </c>
      <c r="F131" s="147">
        <f>IF('ر-فرعي'!H174&gt;0,'ر-فرعي'!H174,"")</f>
        <v>400000</v>
      </c>
      <c r="G131" s="112">
        <f t="shared" si="9"/>
        <v>0.4</v>
      </c>
    </row>
    <row r="132" spans="1:7" x14ac:dyDescent="0.2">
      <c r="A132" s="1"/>
      <c r="B132" s="31">
        <f>IF('ر-فرعي'!D175&gt;0,'ر-فرعي'!D175,"")</f>
        <v>19301021</v>
      </c>
      <c r="C132" s="18" t="str">
        <f>IF('ر-فرعي'!E175&gt;0,'ر-فرعي'!E175,"")</f>
        <v>مشروع انشاء كلية طب/ مشروطة بالتمويل</v>
      </c>
      <c r="D132" s="248">
        <f>IF('ر-فرعي'!F175&gt;0,'ر-فرعي'!F175,"")</f>
        <v>1000000</v>
      </c>
      <c r="E132" s="248" t="str">
        <f>IF('ر-فرعي'!G175&gt;0,'ر-فرعي'!G175,"")</f>
        <v/>
      </c>
      <c r="F132" s="147">
        <f>IF('ر-فرعي'!H175&gt;0,'ر-فرعي'!H175,"")</f>
        <v>1000000</v>
      </c>
      <c r="G132" s="112">
        <f t="shared" si="9"/>
        <v>1</v>
      </c>
    </row>
    <row r="133" spans="1:7" s="46" customFormat="1" x14ac:dyDescent="0.2">
      <c r="A133" s="1"/>
      <c r="B133" s="31">
        <f>IF('ر-فرعي'!D176&gt;0,'ر-فرعي'!D176,"")</f>
        <v>19301023</v>
      </c>
      <c r="C133" s="18" t="str">
        <f>IF('ر-فرعي'!E176&gt;0,'ر-فرعي'!E176,"")</f>
        <v>مبنى مركز الحاسوب/ مشروطة بالتمويل</v>
      </c>
      <c r="D133" s="248">
        <f>IF('ر-فرعي'!F176&gt;0,'ر-فرعي'!F176,"")</f>
        <v>200000</v>
      </c>
      <c r="E133" s="248" t="str">
        <f>IF('ر-فرعي'!G176&gt;0,'ر-فرعي'!G176,"")</f>
        <v/>
      </c>
      <c r="F133" s="147">
        <f>IF('ر-فرعي'!H176&gt;0,'ر-فرعي'!H176,"")</f>
        <v>75000</v>
      </c>
      <c r="G133" s="112">
        <f t="shared" si="9"/>
        <v>0.375</v>
      </c>
    </row>
    <row r="134" spans="1:7" s="46" customFormat="1" x14ac:dyDescent="0.2">
      <c r="A134" s="1"/>
      <c r="B134" s="31">
        <f>IF('ر-فرعي'!D177&gt;0,'ر-فرعي'!D177,"")</f>
        <v>19301024</v>
      </c>
      <c r="C134" s="130" t="str">
        <f>IF('ر-فرعي'!E177&gt;0,'ر-فرعي'!E177,"")</f>
        <v>بناء مستودع كلية العلوم/ مشروطة بالتمويل</v>
      </c>
      <c r="D134" s="248">
        <f>IF('ر-فرعي'!F177&gt;0,'ر-فرعي'!F177,"")</f>
        <v>200000</v>
      </c>
      <c r="E134" s="248" t="str">
        <f>IF('ر-فرعي'!G177&gt;0,'ر-فرعي'!G177,"")</f>
        <v/>
      </c>
      <c r="F134" s="147" t="str">
        <f>IF('ر-فرعي'!H177&gt;0,'ر-فرعي'!H177,"")</f>
        <v/>
      </c>
      <c r="G134" s="112" t="str">
        <f t="shared" si="9"/>
        <v/>
      </c>
    </row>
    <row r="135" spans="1:7" s="46" customFormat="1" x14ac:dyDescent="0.2">
      <c r="A135" s="1"/>
      <c r="B135" s="31">
        <f>IF('ر-فرعي'!D178&gt;0,'ر-فرعي'!D178,"")</f>
        <v>19301025</v>
      </c>
      <c r="C135" s="130" t="str">
        <f>IF('ر-فرعي'!E178&gt;0,'ر-فرعي'!E178,"")</f>
        <v>بناء هنجر للمستودعات الرئيسية/ مشروطة بالتمويل</v>
      </c>
      <c r="D135" s="248">
        <f>IF('ر-فرعي'!F178&gt;0,'ر-فرعي'!F178,"")</f>
        <v>200000</v>
      </c>
      <c r="E135" s="248" t="str">
        <f>IF('ر-فرعي'!G178&gt;0,'ر-فرعي'!G178,"")</f>
        <v/>
      </c>
      <c r="F135" s="147" t="str">
        <f>IF('ر-فرعي'!H178&gt;0,'ر-فرعي'!H178,"")</f>
        <v/>
      </c>
      <c r="G135" s="112" t="str">
        <f t="shared" si="9"/>
        <v/>
      </c>
    </row>
    <row r="136" spans="1:7" s="46" customFormat="1" x14ac:dyDescent="0.2">
      <c r="A136" s="1"/>
      <c r="B136" s="31">
        <f>IF('ر-فرعي'!D179&gt;0,'ر-فرعي'!D179,"")</f>
        <v>19301026</v>
      </c>
      <c r="C136" s="18" t="str">
        <f>IF('ر-فرعي'!E179&gt;0,'ر-فرعي'!E179,"")</f>
        <v>مجمع القاعات التدريسية وقاعة المؤتمرات/ مشروطة بالتمويل</v>
      </c>
      <c r="D136" s="248">
        <f>IF('ر-فرعي'!F179&gt;0,'ر-فرعي'!F179,"")</f>
        <v>3900000</v>
      </c>
      <c r="E136" s="248" t="str">
        <f>IF('ر-فرعي'!G179&gt;0,'ر-فرعي'!G179,"")</f>
        <v/>
      </c>
      <c r="F136" s="147">
        <f>IF('ر-فرعي'!H179&gt;0,'ر-فرعي'!H179,"")</f>
        <v>3000000</v>
      </c>
      <c r="G136" s="112">
        <f t="shared" si="9"/>
        <v>0.76923076923076927</v>
      </c>
    </row>
    <row r="137" spans="1:7" s="46" customFormat="1" x14ac:dyDescent="0.2">
      <c r="A137" s="1"/>
      <c r="B137" s="31">
        <f>IF('ر-فرعي'!D180&gt;0,'ر-فرعي'!D180,"")</f>
        <v>19301027</v>
      </c>
      <c r="C137" s="18" t="str">
        <f>IF('ر-فرعي'!E180&gt;0,'ر-فرعي'!E180,"")</f>
        <v>جمنازيوم رياضي متعدد الأغراض (تربية بدنية)/ مشروطة بالتمويل</v>
      </c>
      <c r="D137" s="248">
        <f>IF('ر-فرعي'!F180&gt;0,'ر-فرعي'!F180,"")</f>
        <v>200000</v>
      </c>
      <c r="E137" s="248" t="str">
        <f>IF('ر-فرعي'!G180&gt;0,'ر-فرعي'!G180,"")</f>
        <v/>
      </c>
      <c r="F137" s="147">
        <f>IF('ر-فرعي'!H180&gt;0,'ر-فرعي'!H180,"")</f>
        <v>180000</v>
      </c>
      <c r="G137" s="112">
        <f t="shared" si="9"/>
        <v>0.9</v>
      </c>
    </row>
    <row r="138" spans="1:7" x14ac:dyDescent="0.2">
      <c r="A138" s="1"/>
      <c r="B138" s="31">
        <f>IF('ر-فرعي'!D183&gt;0,'ر-فرعي'!D183,"")</f>
        <v>19302001</v>
      </c>
      <c r="C138" s="18" t="str">
        <f>IF('ر-فرعي'!E183&gt;0,'ر-فرعي'!E183,"")</f>
        <v>أجهزة حاسوب وملحقاتها/ مشروطة بالتمويل</v>
      </c>
      <c r="D138" s="248">
        <f>IF('ر-فرعي'!F183&gt;0,'ر-فرعي'!F183,"")</f>
        <v>100000</v>
      </c>
      <c r="E138" s="248" t="str">
        <f>IF('ر-فرعي'!G183&gt;0,'ر-فرعي'!G183,"")</f>
        <v/>
      </c>
      <c r="F138" s="147">
        <f>IF('ر-فرعي'!H183&gt;0,'ر-فرعي'!H183,"")</f>
        <v>100000</v>
      </c>
      <c r="G138" s="112">
        <f t="shared" si="9"/>
        <v>1</v>
      </c>
    </row>
    <row r="139" spans="1:7" x14ac:dyDescent="0.2">
      <c r="A139" s="1"/>
      <c r="B139" s="31">
        <f>IF('ر-فرعي'!D184&gt;0,'ر-فرعي'!D184,"")</f>
        <v>19302002</v>
      </c>
      <c r="C139" s="18" t="str">
        <f>IF('ر-فرعي'!E184&gt;0,'ر-فرعي'!E184,"")</f>
        <v>أجهزة وتجهيزات خاصة بالمختبرات/ مشروطة بالتمويل</v>
      </c>
      <c r="D139" s="16">
        <f>IF('ر-فرعي'!F184&gt;0,'ر-فرعي'!F184,"")</f>
        <v>100000</v>
      </c>
      <c r="E139" s="16" t="str">
        <f>IF('ر-فرعي'!G184&gt;0,'ر-فرعي'!G184,"")</f>
        <v/>
      </c>
      <c r="F139" s="147">
        <f>IF('ر-فرعي'!H184&gt;0,'ر-فرعي'!H184,"")</f>
        <v>100000</v>
      </c>
      <c r="G139" s="112">
        <f t="shared" si="9"/>
        <v>1</v>
      </c>
    </row>
    <row r="140" spans="1:7" x14ac:dyDescent="0.2">
      <c r="B140" s="30">
        <f>IF('ر-فرعي'!D185&gt;0,'ر-فرعي'!D185,"")</f>
        <v>19302003</v>
      </c>
      <c r="C140" s="18" t="str">
        <f>IF('ر-فرعي'!E185&gt;0,'ر-فرعي'!E185,"")</f>
        <v>أجهزة وتجهيزات متنوعة/ مشروطة بالتمويل</v>
      </c>
      <c r="D140" s="16">
        <f>IF('ر-فرعي'!F185&gt;0,'ر-فرعي'!F185,"")</f>
        <v>100000</v>
      </c>
      <c r="E140" s="16" t="str">
        <f>IF('ر-فرعي'!G185&gt;0,'ر-فرعي'!G185,"")</f>
        <v/>
      </c>
      <c r="F140" s="147">
        <f>IF('ر-فرعي'!H185&gt;0,'ر-فرعي'!H185,"")</f>
        <v>100000</v>
      </c>
      <c r="G140" s="112">
        <f t="shared" si="9"/>
        <v>1</v>
      </c>
    </row>
    <row r="141" spans="1:7" x14ac:dyDescent="0.2">
      <c r="B141" s="30">
        <f>IF('ر-فرعي'!D186&gt;0,'ر-فرعي'!D186,"")</f>
        <v>19302004</v>
      </c>
      <c r="C141" s="18" t="str">
        <f>IF('ر-فرعي'!E186&gt;0,'ر-فرعي'!E186,"")</f>
        <v>تطوير وتأهيل البنية التحتية للشبكات المختلفة/ مشروطة بالتمويل</v>
      </c>
      <c r="D141" s="16">
        <f>IF('ر-فرعي'!F186&gt;0,'ر-فرعي'!F186,"")</f>
        <v>100000</v>
      </c>
      <c r="E141" s="16" t="str">
        <f>IF('ر-فرعي'!G186&gt;0,'ر-فرعي'!G186,"")</f>
        <v/>
      </c>
      <c r="F141" s="147">
        <f>IF('ر-فرعي'!H186&gt;0,'ر-فرعي'!H186,"")</f>
        <v>100000</v>
      </c>
      <c r="G141" s="112">
        <f t="shared" si="9"/>
        <v>1</v>
      </c>
    </row>
    <row r="142" spans="1:7" s="46" customFormat="1" x14ac:dyDescent="0.2">
      <c r="B142" s="30">
        <f>IF('ر-فرعي'!D187&gt;0,'ر-فرعي'!D187,"")</f>
        <v>19302005</v>
      </c>
      <c r="C142" s="18" t="str">
        <f>IF('ر-فرعي'!E187&gt;0,'ر-فرعي'!E187,"")</f>
        <v>تأهيل مسابح الجامعة/ المسبح الأولمبي</v>
      </c>
      <c r="D142" s="16">
        <f>IF('ر-فرعي'!F187&gt;0,'ر-فرعي'!F187,"")</f>
        <v>100000</v>
      </c>
      <c r="E142" s="16">
        <f>IF('ر-فرعي'!G187&gt;0,'ر-فرعي'!G187,"")</f>
        <v>14528.2</v>
      </c>
      <c r="F142" s="147">
        <f>IF('ر-فرعي'!H187&gt;0,'ر-فرعي'!H187,"")</f>
        <v>100000</v>
      </c>
      <c r="G142" s="112">
        <f t="shared" si="9"/>
        <v>1</v>
      </c>
    </row>
    <row r="143" spans="1:7" s="46" customFormat="1" x14ac:dyDescent="0.2">
      <c r="B143" s="30">
        <f>IF('ر-فرعي'!D188&gt;0,'ر-فرعي'!D188,"")</f>
        <v>19302006</v>
      </c>
      <c r="C143" s="18" t="str">
        <f>IF('ر-فرعي'!E188&gt;0,'ر-فرعي'!E188,"")</f>
        <v>PADILEIA - Partnership for Digital Learning &amp; Increased Access</v>
      </c>
      <c r="D143" s="248">
        <f>IF('ر-فرعي'!F188&gt;0,'ر-فرعي'!F188,"")</f>
        <v>2000000</v>
      </c>
      <c r="E143" s="248" t="str">
        <f>IF('ر-فرعي'!G188&gt;0,'ر-فرعي'!G188,"")</f>
        <v/>
      </c>
      <c r="F143" s="147">
        <f>IF('ر-فرعي'!H188&gt;0,'ر-فرعي'!H188,"")</f>
        <v>1000000</v>
      </c>
      <c r="G143" s="112">
        <f t="shared" si="9"/>
        <v>0.5</v>
      </c>
    </row>
    <row r="144" spans="1:7" s="46" customFormat="1" x14ac:dyDescent="0.2">
      <c r="B144" s="30">
        <f>IF('ر-فرعي'!D189&gt;0,'ر-فرعي'!D189,"")</f>
        <v>19302007</v>
      </c>
      <c r="C144" s="18" t="str">
        <f>IF('ر-فرعي'!E189&gt;0,'ر-فرعي'!E189,"")</f>
        <v>مشروع الشبكة اللاسلكية</v>
      </c>
      <c r="D144" s="248">
        <f>IF('ر-فرعي'!F189&gt;0,'ر-فرعي'!F189,"")</f>
        <v>200000</v>
      </c>
      <c r="E144" s="248" t="str">
        <f>IF('ر-فرعي'!G189&gt;0,'ر-فرعي'!G189,"")</f>
        <v/>
      </c>
      <c r="F144" s="147">
        <f>IF('ر-فرعي'!H189&gt;0,'ر-فرعي'!H189,"")</f>
        <v>200000</v>
      </c>
      <c r="G144" s="112">
        <f t="shared" si="9"/>
        <v>1</v>
      </c>
    </row>
    <row r="145" spans="2:9" s="46" customFormat="1" x14ac:dyDescent="0.2">
      <c r="B145" s="127" t="str">
        <f>IF('ر-فرعي'!D190&gt;0,'ر-فرعي'!D190,"")</f>
        <v/>
      </c>
      <c r="C145" s="55" t="str">
        <f>IF('ر-فرعي'!E190&gt;0,'ر-فرعي'!E190,"")</f>
        <v xml:space="preserve">تطوير الموقع الالكتروني مركز الحاسوب /منحة تعليم عالي </v>
      </c>
      <c r="D145" s="248" t="str">
        <f>IF('ر-فرعي'!F190&gt;0,'ر-فرعي'!F190,"")</f>
        <v/>
      </c>
      <c r="E145" s="248" t="str">
        <f>IF('ر-فرعي'!G190&gt;0,'ر-فرعي'!G190,"")</f>
        <v/>
      </c>
      <c r="F145" s="147">
        <f>IF('ر-فرعي'!H190&gt;0,'ر-فرعي'!H190,"")</f>
        <v>75000</v>
      </c>
      <c r="G145" s="112" t="str">
        <f t="shared" si="9"/>
        <v/>
      </c>
    </row>
    <row r="146" spans="2:9" s="46" customFormat="1" x14ac:dyDescent="0.2">
      <c r="B146" s="127" t="str">
        <f>IF('ر-فرعي'!D191&gt;0,'ر-فرعي'!D191,"")</f>
        <v/>
      </c>
      <c r="C146" s="55" t="str">
        <f>IF('ر-فرعي'!E191&gt;0,'ر-فرعي'!E191,"")</f>
        <v xml:space="preserve">مشروع المراسلات والأرشفة الالكترونية </v>
      </c>
      <c r="D146" s="248" t="str">
        <f>IF('ر-فرعي'!F191&gt;0,'ر-فرعي'!F191,"")</f>
        <v/>
      </c>
      <c r="E146" s="248" t="str">
        <f>IF('ر-فرعي'!G191&gt;0,'ر-فرعي'!G191,"")</f>
        <v/>
      </c>
      <c r="F146" s="147">
        <f>IF('ر-فرعي'!H191&gt;0,'ر-فرعي'!H191,"")</f>
        <v>70000</v>
      </c>
      <c r="G146" s="112" t="str">
        <f t="shared" si="9"/>
        <v/>
      </c>
    </row>
    <row r="147" spans="2:9" x14ac:dyDescent="0.2">
      <c r="B147" s="438" t="s">
        <v>627</v>
      </c>
      <c r="C147" s="439"/>
      <c r="D147" s="144">
        <f>SUM(D128:D146)</f>
        <v>10500000</v>
      </c>
      <c r="E147" s="144">
        <f>SUM(E128:E146)</f>
        <v>1619730.4639999999</v>
      </c>
      <c r="F147" s="144">
        <f t="shared" ref="F147" si="10">SUM(F128:F146)</f>
        <v>8500000</v>
      </c>
      <c r="G147" s="112">
        <f t="shared" si="9"/>
        <v>0.80952380952380953</v>
      </c>
    </row>
    <row r="148" spans="2:9" s="46" customFormat="1" x14ac:dyDescent="0.2">
      <c r="B148" s="472" t="s">
        <v>632</v>
      </c>
      <c r="C148" s="473"/>
      <c r="D148" s="473"/>
      <c r="E148" s="473"/>
      <c r="F148" s="473"/>
      <c r="G148" s="474"/>
    </row>
    <row r="149" spans="2:9" s="46" customFormat="1" x14ac:dyDescent="0.2">
      <c r="B149" s="258"/>
      <c r="C149" s="63" t="str">
        <f>IF('ر-فرعي'!E196&gt;0,'ر-فرعي'!E196,"")</f>
        <v>المساهمة في تدريس طلاب وزارة الصحة/ العادي</v>
      </c>
      <c r="D149" s="16" t="str">
        <f>IF('ر-فرعي'!F196&gt;0,'ر-فرعي'!F196,"")</f>
        <v/>
      </c>
      <c r="E149" s="16" t="str">
        <f>IF('ر-فرعي'!G196&gt;0,'ر-فرعي'!G196,"")</f>
        <v/>
      </c>
      <c r="F149" s="147">
        <f>IF('ر-فرعي'!H196&gt;0,'ر-فرعي'!H196,"")</f>
        <v>10000</v>
      </c>
      <c r="G149" s="112" t="str">
        <f t="shared" ref="G149:G159" si="11">IFERROR(F149/D149,"")</f>
        <v/>
      </c>
    </row>
    <row r="150" spans="2:9" x14ac:dyDescent="0.2">
      <c r="B150" s="258"/>
      <c r="C150" s="63" t="str">
        <f>IF('ر-فرعي'!E197&gt;0,'ر-فرعي'!E197,"")</f>
        <v>المساهمة في تدريس طلاب وزارة الصحة/ غير العادي</v>
      </c>
      <c r="D150" s="16">
        <f>IF('ر-فرعي'!F197&gt;0,'ر-فرعي'!F197,"")</f>
        <v>25000</v>
      </c>
      <c r="E150" s="16">
        <f>IF('ر-فرعي'!G197&gt;0,'ر-فرعي'!G197,"")</f>
        <v>15320</v>
      </c>
      <c r="F150" s="147">
        <f>IF('ر-فرعي'!H197&gt;0,'ر-فرعي'!H197,"")</f>
        <v>15000</v>
      </c>
      <c r="G150" s="112">
        <f t="shared" si="11"/>
        <v>0.6</v>
      </c>
    </row>
    <row r="151" spans="2:9" x14ac:dyDescent="0.2">
      <c r="B151" s="257"/>
      <c r="C151" s="18" t="str">
        <f>IF('ر-فرعي'!E198&gt;0,'ر-فرعي'!E198,"")</f>
        <v>المساهمة في تدريس طلاب الديوان الملكي/ العادي</v>
      </c>
      <c r="D151" s="16">
        <f>IF('ر-فرعي'!F198&gt;0,'ر-فرعي'!F198,"")</f>
        <v>100000</v>
      </c>
      <c r="E151" s="16">
        <f>IF('ر-فرعي'!G198&gt;0,'ر-فرعي'!G198,"")</f>
        <v>85006</v>
      </c>
      <c r="F151" s="147">
        <f>IF('ر-فرعي'!H198&gt;0,'ر-فرعي'!H198,"")</f>
        <v>100000</v>
      </c>
      <c r="G151" s="112">
        <f t="shared" si="11"/>
        <v>1</v>
      </c>
    </row>
    <row r="152" spans="2:9" x14ac:dyDescent="0.2">
      <c r="B152" s="257"/>
      <c r="C152" s="18" t="str">
        <f>IF('ر-فرعي'!E199&gt;0,'ر-فرعي'!E199,"")</f>
        <v>المساهمة في تدريس أبناء الشهداء والمصابين العسكريين/ العادي</v>
      </c>
      <c r="D152" s="16">
        <f>IF('ر-فرعي'!F199&gt;0,'ر-فرعي'!F199,"")</f>
        <v>50000</v>
      </c>
      <c r="E152" s="16">
        <f>IF('ر-فرعي'!G199&gt;0,'ر-فرعي'!G199,"")</f>
        <v>39456</v>
      </c>
      <c r="F152" s="147">
        <f>IF('ر-فرعي'!H199&gt;0,'ر-فرعي'!H199,"")</f>
        <v>50000</v>
      </c>
      <c r="G152" s="112">
        <f t="shared" si="11"/>
        <v>1</v>
      </c>
      <c r="I152" s="26"/>
    </row>
    <row r="153" spans="2:9" x14ac:dyDescent="0.2">
      <c r="B153" s="258"/>
      <c r="C153" s="63" t="str">
        <f>IF('ر-فرعي'!E200&gt;0,'ر-فرعي'!E200,"")</f>
        <v>المساهمة في تدريس أبناء الشهداء والمصابين العسكريين/ غير العادي</v>
      </c>
      <c r="D153" s="16">
        <f>IF('ر-فرعي'!F200&gt;0,'ر-فرعي'!F200,"")</f>
        <v>800000</v>
      </c>
      <c r="E153" s="16">
        <f>IF('ر-فرعي'!G200&gt;0,'ر-فرعي'!G200,"")</f>
        <v>1217849.1000000001</v>
      </c>
      <c r="F153" s="147">
        <f>IF('ر-فرعي'!H200&gt;0,'ر-فرعي'!H200,"")</f>
        <v>1160000</v>
      </c>
      <c r="G153" s="112">
        <f t="shared" si="11"/>
        <v>1.45</v>
      </c>
    </row>
    <row r="154" spans="2:9" x14ac:dyDescent="0.2">
      <c r="B154" s="257"/>
      <c r="C154" s="18" t="str">
        <f>IF('ر-فرعي'!E201&gt;0,'ر-فرعي'!E201,"")</f>
        <v>المساهمة في تدريس ذوي الاحتياجات الخاصة/ العادي</v>
      </c>
      <c r="D154" s="16">
        <f>IF('ر-فرعي'!F201&gt;0,'ر-فرعي'!F201,"")</f>
        <v>15000</v>
      </c>
      <c r="E154" s="16">
        <f>IF('ر-فرعي'!G201&gt;0,'ر-فرعي'!G201,"")</f>
        <v>16012.800000000001</v>
      </c>
      <c r="F154" s="147">
        <f>IF('ر-فرعي'!H201&gt;0,'ر-فرعي'!H201,"")</f>
        <v>20000</v>
      </c>
      <c r="G154" s="112">
        <f t="shared" si="11"/>
        <v>1.3333333333333333</v>
      </c>
    </row>
    <row r="155" spans="2:9" x14ac:dyDescent="0.2">
      <c r="B155" s="258"/>
      <c r="C155" s="63" t="str">
        <f>IF('ر-فرعي'!E202&gt;0,'ر-فرعي'!E202,"")</f>
        <v>المساهمة في تدريس ذوي الاحتياجات الخاصة/ غير العادي</v>
      </c>
      <c r="D155" s="16">
        <f>IF('ر-فرعي'!F202&gt;0,'ر-فرعي'!F202,"")</f>
        <v>30000</v>
      </c>
      <c r="E155" s="16">
        <f>IF('ر-فرعي'!G202&gt;0,'ر-فرعي'!G202,"")</f>
        <v>22186.499999999993</v>
      </c>
      <c r="F155" s="147">
        <f>IF('ر-فرعي'!H202&gt;0,'ر-فرعي'!H202,"")</f>
        <v>25000</v>
      </c>
      <c r="G155" s="112">
        <f t="shared" si="11"/>
        <v>0.83333333333333337</v>
      </c>
    </row>
    <row r="156" spans="2:9" x14ac:dyDescent="0.2">
      <c r="B156" s="257"/>
      <c r="C156" s="18" t="str">
        <f>IF('ر-فرعي'!E203&gt;0,'ر-فرعي'!E203,"")</f>
        <v>المساهمة في تدريس أبناء العاملين في الجامعات الحكومية/ العادي</v>
      </c>
      <c r="D156" s="16">
        <f>IF('ر-فرعي'!F203&gt;0,'ر-فرعي'!F203,"")</f>
        <v>90000</v>
      </c>
      <c r="E156" s="16">
        <f>IF('ر-فرعي'!G203&gt;0,'ر-فرعي'!G203,"")</f>
        <v>92311.3</v>
      </c>
      <c r="F156" s="147">
        <f>IF('ر-فرعي'!H203&gt;0,'ر-فرعي'!H203,"")</f>
        <v>100000</v>
      </c>
      <c r="G156" s="112">
        <f t="shared" si="11"/>
        <v>1.1111111111111112</v>
      </c>
    </row>
    <row r="157" spans="2:9" x14ac:dyDescent="0.2">
      <c r="B157" s="258"/>
      <c r="C157" s="63" t="str">
        <f>IF('ر-فرعي'!E204&gt;0,'ر-فرعي'!E204,"")</f>
        <v>المساهمة في تدريس أبناء العاملين في الجامعات الحكومية/ غير العادي</v>
      </c>
      <c r="D157" s="16">
        <f>IF('ر-فرعي'!F204&gt;0,'ر-فرعي'!F204,"")</f>
        <v>10000</v>
      </c>
      <c r="E157" s="16">
        <f>IF('ر-فرعي'!G204&gt;0,'ر-فرعي'!G204,"")</f>
        <v>15245</v>
      </c>
      <c r="F157" s="147">
        <f>IF('ر-فرعي'!H204&gt;0,'ر-فرعي'!H204,"")</f>
        <v>20000</v>
      </c>
      <c r="G157" s="112">
        <f t="shared" si="11"/>
        <v>2</v>
      </c>
    </row>
    <row r="158" spans="2:9" s="46" customFormat="1" x14ac:dyDescent="0.2">
      <c r="B158" s="432" t="s">
        <v>631</v>
      </c>
      <c r="C158" s="433"/>
      <c r="D158" s="259">
        <f>SUM(D149:D157)</f>
        <v>1120000</v>
      </c>
      <c r="E158" s="259">
        <f t="shared" ref="E158" si="12">SUM(E149:E157)</f>
        <v>1503386.7000000002</v>
      </c>
      <c r="F158" s="259">
        <f>SUM(F149:F157)</f>
        <v>1500000</v>
      </c>
      <c r="G158" s="112">
        <f t="shared" si="11"/>
        <v>1.3392857142857142</v>
      </c>
    </row>
    <row r="159" spans="2:9" ht="15" thickBot="1" x14ac:dyDescent="0.25">
      <c r="B159" s="475" t="s">
        <v>658</v>
      </c>
      <c r="C159" s="476"/>
      <c r="D159" s="260">
        <f>D147+D158</f>
        <v>11620000</v>
      </c>
      <c r="E159" s="260">
        <f t="shared" ref="E159:F159" si="13">E147+E158</f>
        <v>3123117.1639999999</v>
      </c>
      <c r="F159" s="260">
        <f t="shared" si="13"/>
        <v>10000000</v>
      </c>
      <c r="G159" s="196">
        <f t="shared" si="11"/>
        <v>0.86058519793459554</v>
      </c>
    </row>
    <row r="161" spans="4:7" x14ac:dyDescent="0.2">
      <c r="D161" s="253">
        <f>D113+D123+D159</f>
        <v>64000000</v>
      </c>
      <c r="E161" s="253">
        <f>E113+E123+E159</f>
        <v>47569240.414999999</v>
      </c>
      <c r="F161" s="253">
        <f>F113+F123+F159</f>
        <v>68814000</v>
      </c>
    </row>
    <row r="162" spans="4:7" x14ac:dyDescent="0.2">
      <c r="D162" s="253">
        <f>'ن-مواد'!D276-'ر-مواد'!D161</f>
        <v>0</v>
      </c>
      <c r="E162" s="253">
        <f>'ن-مواد'!F276-'ر-مواد'!E161</f>
        <v>0</v>
      </c>
      <c r="F162" s="253">
        <f>'ن-مواد'!H276-'ر-مواد'!F161</f>
        <v>0</v>
      </c>
      <c r="G162" s="253"/>
    </row>
  </sheetData>
  <mergeCells count="45">
    <mergeCell ref="B158:C158"/>
    <mergeCell ref="B148:G148"/>
    <mergeCell ref="B159:C159"/>
    <mergeCell ref="B53:G53"/>
    <mergeCell ref="B51:C51"/>
    <mergeCell ref="B57:G57"/>
    <mergeCell ref="B52:G52"/>
    <mergeCell ref="B108:C108"/>
    <mergeCell ref="B107:C107"/>
    <mergeCell ref="B55:C55"/>
    <mergeCell ref="B123:C123"/>
    <mergeCell ref="B113:C113"/>
    <mergeCell ref="B115:C115"/>
    <mergeCell ref="D115:E115"/>
    <mergeCell ref="F115:G115"/>
    <mergeCell ref="D125:E125"/>
    <mergeCell ref="F3:G3"/>
    <mergeCell ref="B2:B3"/>
    <mergeCell ref="D3:E3"/>
    <mergeCell ref="B58:G58"/>
    <mergeCell ref="B78:G78"/>
    <mergeCell ref="B50:C50"/>
    <mergeCell ref="B125:C125"/>
    <mergeCell ref="B56:C56"/>
    <mergeCell ref="B103:G103"/>
    <mergeCell ref="B104:G104"/>
    <mergeCell ref="B116:G116"/>
    <mergeCell ref="B109:C109"/>
    <mergeCell ref="B122:C122"/>
    <mergeCell ref="B1:G1"/>
    <mergeCell ref="B4:G4"/>
    <mergeCell ref="B5:G5"/>
    <mergeCell ref="B147:C147"/>
    <mergeCell ref="B112:C112"/>
    <mergeCell ref="B77:C77"/>
    <mergeCell ref="B114:G114"/>
    <mergeCell ref="C2:C3"/>
    <mergeCell ref="B127:G127"/>
    <mergeCell ref="B117:G117"/>
    <mergeCell ref="B110:G110"/>
    <mergeCell ref="B124:G124"/>
    <mergeCell ref="B101:C101"/>
    <mergeCell ref="B102:C102"/>
    <mergeCell ref="B126:G126"/>
    <mergeCell ref="F125:G125"/>
  </mergeCells>
  <conditionalFormatting sqref="B1:G159">
    <cfRule type="containsBlanks" dxfId="33" priority="1">
      <formula>LEN(TRIM(B1))=0</formula>
    </cfRule>
  </conditionalFormatting>
  <pageMargins left="0.47244094488188981" right="0.78740157480314965" top="0.98425196850393704" bottom="0" header="0.19685039370078741" footer="0"/>
  <pageSetup paperSize="9" scale="63" orientation="portrait" r:id="rId1"/>
  <headerFooter>
    <oddFooter xml:space="preserve">&amp;C&amp;P+6
&amp;R
</oddFooter>
  </headerFooter>
  <rowBreaks count="1" manualBreakCount="1">
    <brk id="7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77"/>
  <sheetViews>
    <sheetView rightToLeft="1" zoomScaleNormal="100" workbookViewId="0">
      <pane ySplit="3" topLeftCell="A224" activePane="bottomLeft" state="frozen"/>
      <selection activeCell="B16" sqref="B16:J18"/>
      <selection pane="bottomLeft" activeCell="D2" sqref="D1:I1048576"/>
    </sheetView>
  </sheetViews>
  <sheetFormatPr defaultRowHeight="14.25" x14ac:dyDescent="0.2"/>
  <cols>
    <col min="1" max="1" width="12.25" customWidth="1"/>
    <col min="2" max="2" width="9" style="68" bestFit="1" customWidth="1"/>
    <col min="3" max="3" width="48.875" style="2" customWidth="1"/>
    <col min="4" max="6" width="7.625" style="2" bestFit="1" customWidth="1"/>
    <col min="7" max="7" width="6.875" style="2" bestFit="1" customWidth="1"/>
    <col min="8" max="8" width="7.625" style="2" bestFit="1" customWidth="1"/>
    <col min="9" max="9" width="5.25" style="208" bestFit="1" customWidth="1"/>
    <col min="10" max="10" width="9" style="15"/>
  </cols>
  <sheetData>
    <row r="1" spans="2:10" s="198" customFormat="1" ht="15.75" x14ac:dyDescent="0.2">
      <c r="B1" s="429" t="s">
        <v>667</v>
      </c>
      <c r="C1" s="423"/>
      <c r="D1" s="423"/>
      <c r="E1" s="423"/>
      <c r="F1" s="423"/>
      <c r="G1" s="423"/>
      <c r="H1" s="423"/>
      <c r="I1" s="424"/>
      <c r="J1" s="199"/>
    </row>
    <row r="2" spans="2:10" s="197" customFormat="1" ht="25.5" x14ac:dyDescent="0.2">
      <c r="B2" s="428" t="s">
        <v>339</v>
      </c>
      <c r="C2" s="467" t="s">
        <v>340</v>
      </c>
      <c r="D2" s="302" t="s">
        <v>603</v>
      </c>
      <c r="E2" s="302" t="s">
        <v>604</v>
      </c>
      <c r="F2" s="292" t="s">
        <v>605</v>
      </c>
      <c r="G2" s="302" t="s">
        <v>606</v>
      </c>
      <c r="H2" s="302" t="s">
        <v>603</v>
      </c>
      <c r="I2" s="303" t="s">
        <v>651</v>
      </c>
      <c r="J2" s="200"/>
    </row>
    <row r="3" spans="2:10" s="197" customFormat="1" ht="12.75" x14ac:dyDescent="0.2">
      <c r="B3" s="428"/>
      <c r="C3" s="467"/>
      <c r="D3" s="419">
        <v>2019</v>
      </c>
      <c r="E3" s="419"/>
      <c r="F3" s="419"/>
      <c r="G3" s="419"/>
      <c r="H3" s="420">
        <v>2020</v>
      </c>
      <c r="I3" s="421"/>
      <c r="J3" s="200"/>
    </row>
    <row r="4" spans="2:10" x14ac:dyDescent="0.2">
      <c r="B4" s="407" t="str">
        <f>'ن-فرعي'!B4:K4</f>
        <v>الباب الأول: النفقات المتكررة</v>
      </c>
      <c r="C4" s="408"/>
      <c r="D4" s="408"/>
      <c r="E4" s="408"/>
      <c r="F4" s="408"/>
      <c r="G4" s="408"/>
      <c r="H4" s="408"/>
      <c r="I4" s="409"/>
    </row>
    <row r="5" spans="2:10" x14ac:dyDescent="0.2">
      <c r="B5" s="462" t="str">
        <f>'ن-فرعي'!B5:K5</f>
        <v>الفصل الأول: الرواتب والعلاوات والمكافآت</v>
      </c>
      <c r="C5" s="463"/>
      <c r="D5" s="463"/>
      <c r="E5" s="463"/>
      <c r="F5" s="463"/>
      <c r="G5" s="463"/>
      <c r="H5" s="463"/>
      <c r="I5" s="464"/>
    </row>
    <row r="6" spans="2:10" x14ac:dyDescent="0.2">
      <c r="B6" s="217">
        <f>IF('ن-فرعي'!D7&gt;0,'ن-فرعي'!D7,"")</f>
        <v>20101001</v>
      </c>
      <c r="C6" s="18" t="str">
        <f>IF('ن-فرعي'!E7&gt;0,'ن-فرعي'!E7,"")</f>
        <v>رواتب وعلاوات الهيئة التدريسية</v>
      </c>
      <c r="D6" s="16">
        <f>IF('ن-فرعي'!F7&gt;0,'ن-فرعي'!F7,"")</f>
        <v>7362000</v>
      </c>
      <c r="E6" s="16">
        <f>IF('ن-فرعي'!G7&gt;0,'ن-فرعي'!G7,"")</f>
        <v>7737000</v>
      </c>
      <c r="F6" s="16">
        <f>IF('ن-فرعي'!H7&gt;0,'ن-فرعي'!H7,"")</f>
        <v>7382233.0600000005</v>
      </c>
      <c r="G6" s="16" t="str">
        <f>IF('ن-فرعي'!I7&gt;0,'ن-فرعي'!I7,"")</f>
        <v/>
      </c>
      <c r="H6" s="148">
        <f>IF('ن-فرعي'!J7&gt;0,'ن-فرعي'!J7,"")</f>
        <v>7953000</v>
      </c>
      <c r="I6" s="112">
        <f t="shared" ref="I6:I24" si="0">IFERROR(H6/D6,"")</f>
        <v>1.0802770986145069</v>
      </c>
      <c r="J6" s="27"/>
    </row>
    <row r="7" spans="2:10" x14ac:dyDescent="0.2">
      <c r="B7" s="217">
        <f>IF('ن-فرعي'!D8&gt;0,'ن-فرعي'!D8,"")</f>
        <v>20101002</v>
      </c>
      <c r="C7" s="18" t="str">
        <f>IF('ن-فرعي'!E8&gt;0,'ن-فرعي'!E8,"")</f>
        <v>مكافآت هيئة التدريس للعمل الصيفي والاضافي</v>
      </c>
      <c r="D7" s="16">
        <f>IF('ن-فرعي'!F8&gt;0,'ن-فرعي'!F8,"")</f>
        <v>1750000</v>
      </c>
      <c r="E7" s="16">
        <f>IF('ن-فرعي'!G8&gt;0,'ن-فرعي'!G8,"")</f>
        <v>1650000</v>
      </c>
      <c r="F7" s="16">
        <f>IF('ن-فرعي'!H8&gt;0,'ن-فرعي'!H8,"")</f>
        <v>1381191.62</v>
      </c>
      <c r="G7" s="16" t="str">
        <f>IF('ن-فرعي'!I8&gt;0,'ن-فرعي'!I8,"")</f>
        <v/>
      </c>
      <c r="H7" s="148">
        <f>IF('ن-فرعي'!J8&gt;0,'ن-فرعي'!J8,"")</f>
        <v>1400000</v>
      </c>
      <c r="I7" s="112">
        <f t="shared" si="0"/>
        <v>0.8</v>
      </c>
      <c r="J7" s="27"/>
    </row>
    <row r="8" spans="2:10" x14ac:dyDescent="0.2">
      <c r="B8" s="217">
        <f>IF('ن-فرعي'!D9&gt;0,'ن-فرعي'!D9,"")</f>
        <v>20101003</v>
      </c>
      <c r="C8" s="18" t="str">
        <f>IF('ن-فرعي'!E9&gt;0,'ن-فرعي'!E9,"")</f>
        <v>مكافآت اساتذة دائمين ومؤقتين ومنتدبين</v>
      </c>
      <c r="D8" s="16">
        <f>IF('ن-فرعي'!F9&gt;0,'ن-فرعي'!F9,"")</f>
        <v>75000</v>
      </c>
      <c r="E8" s="16">
        <f>IF('ن-فرعي'!G9&gt;0,'ن-فرعي'!G9,"")</f>
        <v>110000</v>
      </c>
      <c r="F8" s="16">
        <f>IF('ن-فرعي'!H9&gt;0,'ن-فرعي'!H9,"")</f>
        <v>87451.373000000007</v>
      </c>
      <c r="G8" s="16" t="str">
        <f>IF('ن-فرعي'!I9&gt;0,'ن-فرعي'!I9,"")</f>
        <v/>
      </c>
      <c r="H8" s="148">
        <f>IF('ن-فرعي'!J9&gt;0,'ن-فرعي'!J9,"")</f>
        <v>75000</v>
      </c>
      <c r="I8" s="112">
        <f t="shared" si="0"/>
        <v>1</v>
      </c>
      <c r="J8" s="27"/>
    </row>
    <row r="9" spans="2:10" x14ac:dyDescent="0.2">
      <c r="B9" s="217">
        <f>IF('ن-فرعي'!D10&gt;0,'ن-فرعي'!D10,"")</f>
        <v>20101005</v>
      </c>
      <c r="C9" s="18" t="str">
        <f>IF('ن-فرعي'!E10&gt;0,'ن-فرعي'!E10,"")</f>
        <v>بدل سكن لاعضاء هيئة التدريس</v>
      </c>
      <c r="D9" s="16">
        <f>IF('ن-فرعي'!F10&gt;0,'ن-فرعي'!F10,"")</f>
        <v>3000</v>
      </c>
      <c r="E9" s="16">
        <f>IF('ن-فرعي'!G10&gt;0,'ن-فرعي'!G10,"")</f>
        <v>3000</v>
      </c>
      <c r="F9" s="16">
        <f>IF('ن-فرعي'!H10&gt;0,'ن-فرعي'!H10,"")</f>
        <v>3000</v>
      </c>
      <c r="G9" s="16" t="str">
        <f>IF('ن-فرعي'!I10&gt;0,'ن-فرعي'!I10,"")</f>
        <v/>
      </c>
      <c r="H9" s="148">
        <f>IF('ن-فرعي'!J10&gt;0,'ن-فرعي'!J10,"")</f>
        <v>3000</v>
      </c>
      <c r="I9" s="112">
        <f t="shared" si="0"/>
        <v>1</v>
      </c>
      <c r="J9" s="27"/>
    </row>
    <row r="10" spans="2:10" x14ac:dyDescent="0.2">
      <c r="B10" s="217">
        <f>IF('ن-فرعي'!D11&gt;0,'ن-فرعي'!D11,"")</f>
        <v>20101007</v>
      </c>
      <c r="C10" s="18" t="str">
        <f>IF('ن-فرعي'!E11&gt;0,'ن-فرعي'!E11,"")</f>
        <v>مخصصات الشواغر والاحداثات لاعضاء الهيئة التدريسية</v>
      </c>
      <c r="D10" s="16">
        <f>IF('ن-فرعي'!F11&gt;0,'ن-فرعي'!F11,"")</f>
        <v>350000</v>
      </c>
      <c r="E10" s="16">
        <f>IF('ن-فرعي'!G11&gt;0,'ن-فرعي'!G11,"")</f>
        <v>163000</v>
      </c>
      <c r="F10" s="16">
        <f>IF('ن-فرعي'!H11&gt;0,'ن-فرعي'!H11,"")</f>
        <v>92850.403000000006</v>
      </c>
      <c r="G10" s="16" t="str">
        <f>IF('ن-فرعي'!I11&gt;0,'ن-فرعي'!I11,"")</f>
        <v/>
      </c>
      <c r="H10" s="148">
        <f>IF('ن-فرعي'!J11&gt;0,'ن-فرعي'!J11,"")</f>
        <v>400000</v>
      </c>
      <c r="I10" s="112">
        <f t="shared" si="0"/>
        <v>1.1428571428571428</v>
      </c>
      <c r="J10" s="27"/>
    </row>
    <row r="11" spans="2:10" x14ac:dyDescent="0.2">
      <c r="B11" s="217">
        <f>IF('ن-فرعي'!D12&gt;0,'ن-فرعي'!D12,"")</f>
        <v>20101008</v>
      </c>
      <c r="C11" s="18" t="str">
        <f>IF('ن-فرعي'!E12&gt;0,'ن-فرعي'!E12,"")</f>
        <v>مكافات هيئة التدريس / البرنامج الدولي</v>
      </c>
      <c r="D11" s="16">
        <f>IF('ن-فرعي'!F12&gt;0,'ن-فرعي'!F12,"")</f>
        <v>250000</v>
      </c>
      <c r="E11" s="16">
        <f>IF('ن-فرعي'!G12&gt;0,'ن-فرعي'!G12,"")</f>
        <v>270000</v>
      </c>
      <c r="F11" s="16">
        <f>IF('ن-فرعي'!H12&gt;0,'ن-فرعي'!H12,"")</f>
        <v>261337.2</v>
      </c>
      <c r="G11" s="16" t="str">
        <f>IF('ن-فرعي'!I12&gt;0,'ن-فرعي'!I12,"")</f>
        <v/>
      </c>
      <c r="H11" s="148">
        <f>IF('ن-فرعي'!J12&gt;0,'ن-فرعي'!J12,"")</f>
        <v>150000</v>
      </c>
      <c r="I11" s="112">
        <f t="shared" si="0"/>
        <v>0.6</v>
      </c>
      <c r="J11" s="27"/>
    </row>
    <row r="12" spans="2:10" s="46" customFormat="1" x14ac:dyDescent="0.2">
      <c r="B12" s="217">
        <f>IF('ن-فرعي'!D13&gt;0,'ن-فرعي'!D13,"")</f>
        <v>20101009</v>
      </c>
      <c r="C12" s="65" t="str">
        <f>IF('ن-فرعي'!E13&gt;0,'ن-فرعي'!E13,"")</f>
        <v>مكافات رئيس واعضاء مجلس الامناء</v>
      </c>
      <c r="D12" s="16">
        <f>IF('ن-فرعي'!F13&gt;0,'ن-فرعي'!F13,"")</f>
        <v>25000</v>
      </c>
      <c r="E12" s="16">
        <f>IF('ن-فرعي'!G13&gt;0,'ن-فرعي'!G13,"")</f>
        <v>25000</v>
      </c>
      <c r="F12" s="16">
        <f>IF('ن-فرعي'!H13&gt;0,'ن-فرعي'!H13,"")</f>
        <v>22170</v>
      </c>
      <c r="G12" s="16" t="str">
        <f>IF('ن-فرعي'!I13&gt;0,'ن-فرعي'!I13,"")</f>
        <v/>
      </c>
      <c r="H12" s="148">
        <f>IF('ن-فرعي'!J13&gt;0,'ن-فرعي'!J13,"")</f>
        <v>25000</v>
      </c>
      <c r="I12" s="112">
        <f t="shared" si="0"/>
        <v>1</v>
      </c>
      <c r="J12" s="27"/>
    </row>
    <row r="13" spans="2:10" x14ac:dyDescent="0.2">
      <c r="B13" s="217">
        <f>IF('ن-فرعي'!D16&gt;0,'ن-فرعي'!D16,"")</f>
        <v>20103001</v>
      </c>
      <c r="C13" s="18" t="str">
        <f>IF('ن-فرعي'!E16&gt;0,'ن-فرعي'!E16,"")</f>
        <v>رواتب الهيئة الادارية</v>
      </c>
      <c r="D13" s="16">
        <f>IF('ن-فرعي'!F16&gt;0,'ن-فرعي'!F16,"")</f>
        <v>6955500</v>
      </c>
      <c r="E13" s="16">
        <f>IF('ن-فرعي'!G16&gt;0,'ن-فرعي'!G16,"")</f>
        <v>6995500</v>
      </c>
      <c r="F13" s="16">
        <f>IF('ن-فرعي'!H16&gt;0,'ن-فرعي'!H16,"")</f>
        <v>6828244.3810000001</v>
      </c>
      <c r="G13" s="16" t="str">
        <f>IF('ن-فرعي'!I16&gt;0,'ن-فرعي'!I16,"")</f>
        <v/>
      </c>
      <c r="H13" s="148">
        <f>IF('ن-فرعي'!J16&gt;0,'ن-فرعي'!J16,"")</f>
        <v>7139000</v>
      </c>
      <c r="I13" s="112">
        <f t="shared" si="0"/>
        <v>1.0263819998562289</v>
      </c>
      <c r="J13" s="27"/>
    </row>
    <row r="14" spans="2:10" x14ac:dyDescent="0.2">
      <c r="B14" s="217">
        <f>IF('ن-فرعي'!D17&gt;0,'ن-فرعي'!D17,"")</f>
        <v>20103002</v>
      </c>
      <c r="C14" s="18" t="str">
        <f>IF('ن-فرعي'!E17&gt;0,'ن-فرعي'!E17,"")</f>
        <v>المكافآت والعمل الاضافي للهيئة الادارية</v>
      </c>
      <c r="D14" s="16">
        <f>IF('ن-فرعي'!F17&gt;0,'ن-فرعي'!F17,"")</f>
        <v>70000</v>
      </c>
      <c r="E14" s="16">
        <f>IF('ن-فرعي'!G17&gt;0,'ن-فرعي'!G17,"")</f>
        <v>60000</v>
      </c>
      <c r="F14" s="16">
        <f>IF('ن-فرعي'!H17&gt;0,'ن-فرعي'!H17,"")</f>
        <v>23908.9</v>
      </c>
      <c r="G14" s="16" t="str">
        <f>IF('ن-فرعي'!I17&gt;0,'ن-فرعي'!I17,"")</f>
        <v/>
      </c>
      <c r="H14" s="148">
        <f>IF('ن-فرعي'!J17&gt;0,'ن-فرعي'!J17,"")</f>
        <v>60000</v>
      </c>
      <c r="I14" s="112">
        <f t="shared" si="0"/>
        <v>0.8571428571428571</v>
      </c>
      <c r="J14" s="27"/>
    </row>
    <row r="15" spans="2:10" x14ac:dyDescent="0.2">
      <c r="B15" s="217">
        <f>IF('ن-فرعي'!D18&gt;0,'ن-فرعي'!D18,"")</f>
        <v>20103003</v>
      </c>
      <c r="C15" s="18" t="str">
        <f>IF('ن-فرعي'!E18&gt;0,'ن-فرعي'!E18,"")</f>
        <v>مكافآت الاداريين المنتدبين</v>
      </c>
      <c r="D15" s="16">
        <f>IF('ن-فرعي'!F18&gt;0,'ن-فرعي'!F18,"")</f>
        <v>25000</v>
      </c>
      <c r="E15" s="16">
        <f>IF('ن-فرعي'!G18&gt;0,'ن-فرعي'!G18,"")</f>
        <v>50000</v>
      </c>
      <c r="F15" s="16">
        <f>IF('ن-فرعي'!H18&gt;0,'ن-فرعي'!H18,"")</f>
        <v>48043.571000000004</v>
      </c>
      <c r="G15" s="16" t="str">
        <f>IF('ن-فرعي'!I18&gt;0,'ن-فرعي'!I18,"")</f>
        <v/>
      </c>
      <c r="H15" s="148">
        <f>IF('ن-فرعي'!J18&gt;0,'ن-فرعي'!J18,"")</f>
        <v>70000</v>
      </c>
      <c r="I15" s="112">
        <f t="shared" si="0"/>
        <v>2.8</v>
      </c>
      <c r="J15" s="27"/>
    </row>
    <row r="16" spans="2:10" x14ac:dyDescent="0.2">
      <c r="B16" s="217">
        <f>IF('ن-فرعي'!D19&gt;0,'ن-فرعي'!D19,"")</f>
        <v>20103006</v>
      </c>
      <c r="C16" s="18" t="str">
        <f>IF('ن-فرعي'!E19&gt;0,'ن-فرعي'!E19,"")</f>
        <v>مخصصات الشواغر والاحداثات لاعضاء الهيئة الادارية</v>
      </c>
      <c r="D16" s="16">
        <f>IF('ن-فرعي'!F19&gt;0,'ن-فرعي'!F19,"")</f>
        <v>50000</v>
      </c>
      <c r="E16" s="16">
        <f>IF('ن-فرعي'!G19&gt;0,'ن-فرعي'!G19,"")</f>
        <v>19000</v>
      </c>
      <c r="F16" s="16" t="str">
        <f>IF('ن-فرعي'!H19&gt;0,'ن-فرعي'!H19,"")</f>
        <v/>
      </c>
      <c r="G16" s="16" t="str">
        <f>IF('ن-فرعي'!I19&gt;0,'ن-فرعي'!I19,"")</f>
        <v/>
      </c>
      <c r="H16" s="148">
        <f>IF('ن-فرعي'!J19&gt;0,'ن-فرعي'!J19,"")</f>
        <v>42606</v>
      </c>
      <c r="I16" s="112">
        <f t="shared" si="0"/>
        <v>0.85211999999999999</v>
      </c>
      <c r="J16" s="27"/>
    </row>
    <row r="17" spans="2:10" x14ac:dyDescent="0.2">
      <c r="B17" s="217">
        <f>IF('ن-فرعي'!D22&gt;0,'ن-فرعي'!D22,"")</f>
        <v>20116002</v>
      </c>
      <c r="C17" s="18" t="str">
        <f>IF('ن-فرعي'!E22&gt;0,'ن-فرعي'!E22,"")</f>
        <v>حوافز برنامج الموازي للهيئة التدريسية</v>
      </c>
      <c r="D17" s="16">
        <f>IF('ن-فرعي'!F22&gt;0,'ن-فرعي'!F22,"")</f>
        <v>2415885</v>
      </c>
      <c r="E17" s="16">
        <f>IF('ن-فرعي'!G22&gt;0,'ن-فرعي'!G22,"")</f>
        <v>2415885</v>
      </c>
      <c r="F17" s="16">
        <f>IF('ن-فرعي'!H22&gt;0,'ن-فرعي'!H22,"")</f>
        <v>2415885</v>
      </c>
      <c r="G17" s="16" t="str">
        <f>IF('ن-فرعي'!I22&gt;0,'ن-فرعي'!I22,"")</f>
        <v/>
      </c>
      <c r="H17" s="148">
        <f>IF('ن-فرعي'!J22&gt;0,'ن-فرعي'!J22,"")</f>
        <v>2406265</v>
      </c>
      <c r="I17" s="112">
        <f t="shared" si="0"/>
        <v>0.99601802238103221</v>
      </c>
      <c r="J17" s="27"/>
    </row>
    <row r="18" spans="2:10" x14ac:dyDescent="0.2">
      <c r="B18" s="217">
        <f>IF('ن-فرعي'!D23&gt;0,'ن-فرعي'!D23,"")</f>
        <v>20116003</v>
      </c>
      <c r="C18" s="18" t="str">
        <f>IF('ن-فرعي'!E23&gt;0,'ن-فرعي'!E23,"")</f>
        <v>حوافز برنامج الموازي للموظفين</v>
      </c>
      <c r="D18" s="16">
        <f>IF('ن-فرعي'!F23&gt;0,'ن-فرعي'!F23,"")</f>
        <v>1628059</v>
      </c>
      <c r="E18" s="16">
        <f>IF('ن-فرعي'!G23&gt;0,'ن-فرعي'!G23,"")</f>
        <v>1628059</v>
      </c>
      <c r="F18" s="16">
        <f>IF('ن-فرعي'!H23&gt;0,'ن-فرعي'!H23,"")</f>
        <v>1628059</v>
      </c>
      <c r="G18" s="16" t="str">
        <f>IF('ن-فرعي'!I23&gt;0,'ن-فرعي'!I23,"")</f>
        <v/>
      </c>
      <c r="H18" s="148">
        <f>IF('ن-فرعي'!J23&gt;0,'ن-فرعي'!J23,"")</f>
        <v>1557474</v>
      </c>
      <c r="I18" s="112">
        <f t="shared" si="0"/>
        <v>0.95664469162358368</v>
      </c>
      <c r="J18" s="27"/>
    </row>
    <row r="19" spans="2:10" x14ac:dyDescent="0.2">
      <c r="B19" s="217">
        <f>IF('ن-فرعي'!D24&gt;0,'ن-فرعي'!D24,"")</f>
        <v>20116005</v>
      </c>
      <c r="C19" s="18" t="str">
        <f>IF('ن-فرعي'!E24&gt;0,'ن-فرعي'!E24,"")</f>
        <v>احتياطي حوافز موازي هيئة تدريس</v>
      </c>
      <c r="D19" s="16">
        <f>IF('ن-فرعي'!F24&gt;0,'ن-فرعي'!F24,"")</f>
        <v>285849</v>
      </c>
      <c r="E19" s="16">
        <f>IF('ن-فرعي'!G24&gt;0,'ن-فرعي'!G24,"")</f>
        <v>285849</v>
      </c>
      <c r="F19" s="16">
        <f>IF('ن-فرعي'!H24&gt;0,'ن-فرعي'!H24,"")</f>
        <v>285849</v>
      </c>
      <c r="G19" s="16" t="str">
        <f>IF('ن-فرعي'!I24&gt;0,'ن-فرعي'!I24,"")</f>
        <v/>
      </c>
      <c r="H19" s="148">
        <f>IF('ن-فرعي'!J24&gt;0,'ن-فرعي'!J24,"")</f>
        <v>135358</v>
      </c>
      <c r="I19" s="112">
        <f t="shared" si="0"/>
        <v>0.47352973073195986</v>
      </c>
      <c r="J19" s="27"/>
    </row>
    <row r="20" spans="2:10" x14ac:dyDescent="0.2">
      <c r="B20" s="217">
        <f>IF('ن-فرعي'!D25&gt;0,'ن-فرعي'!D25,"")</f>
        <v>20116006</v>
      </c>
      <c r="C20" s="18" t="str">
        <f>IF('ن-فرعي'!E25&gt;0,'ن-فرعي'!E25,"")</f>
        <v>احتياطي حوافز موازي للموظفين</v>
      </c>
      <c r="D20" s="16">
        <f>IF('ن-فرعي'!F25&gt;0,'ن-فرعي'!F25,"")</f>
        <v>57170</v>
      </c>
      <c r="E20" s="16">
        <f>IF('ن-فرعي'!G25&gt;0,'ن-فرعي'!G25,"")</f>
        <v>57170</v>
      </c>
      <c r="F20" s="16">
        <f>IF('ن-فرعي'!H25&gt;0,'ن-فرعي'!H25,"")</f>
        <v>57170</v>
      </c>
      <c r="G20" s="16" t="str">
        <f>IF('ن-فرعي'!I25&gt;0,'ن-فرعي'!I25,"")</f>
        <v/>
      </c>
      <c r="H20" s="148">
        <f>IF('ن-فرعي'!J25&gt;0,'ن-فرعي'!J25,"")</f>
        <v>27072</v>
      </c>
      <c r="I20" s="112">
        <f t="shared" si="0"/>
        <v>0.47353507084135038</v>
      </c>
      <c r="J20" s="27"/>
    </row>
    <row r="21" spans="2:10" x14ac:dyDescent="0.2">
      <c r="B21" s="217">
        <f>IF('ن-فرعي'!D28&gt;0,'ن-فرعي'!D28,"")</f>
        <v>20117001</v>
      </c>
      <c r="C21" s="18" t="str">
        <f>IF('ن-فرعي'!E28&gt;0,'ن-فرعي'!E28,"")</f>
        <v>خدمات الامن والحراسة</v>
      </c>
      <c r="D21" s="16">
        <f>IF('ن-فرعي'!F28&gt;0,'ن-فرعي'!F28,"")</f>
        <v>400000</v>
      </c>
      <c r="E21" s="16">
        <f>IF('ن-فرعي'!G28&gt;0,'ن-فرعي'!G28,"")</f>
        <v>531000</v>
      </c>
      <c r="F21" s="16">
        <f>IF('ن-فرعي'!H28&gt;0,'ن-فرعي'!H28,"")</f>
        <v>506682.67300000001</v>
      </c>
      <c r="G21" s="16">
        <f>IF('ن-فرعي'!I28&gt;0,'ن-فرعي'!I28,"")</f>
        <v>19608.555</v>
      </c>
      <c r="H21" s="148">
        <f>IF('ن-فرعي'!J28&gt;0,'ن-فرعي'!J28,"")</f>
        <v>500000</v>
      </c>
      <c r="I21" s="112">
        <f t="shared" si="0"/>
        <v>1.25</v>
      </c>
      <c r="J21" s="27"/>
    </row>
    <row r="22" spans="2:10" x14ac:dyDescent="0.2">
      <c r="B22" s="217">
        <f>IF('ن-فرعي'!D29&gt;0,'ن-فرعي'!D29,"")</f>
        <v>20117002</v>
      </c>
      <c r="C22" s="18" t="str">
        <f>IF('ن-فرعي'!E29&gt;0,'ن-فرعي'!E29,"")</f>
        <v>بدل وجبات الطعام للعسكريين</v>
      </c>
      <c r="D22" s="16">
        <f>IF('ن-فرعي'!F29&gt;0,'ن-فرعي'!F29,"")</f>
        <v>10000</v>
      </c>
      <c r="E22" s="16">
        <f>IF('ن-فرعي'!G29&gt;0,'ن-فرعي'!G29,"")</f>
        <v>10000</v>
      </c>
      <c r="F22" s="16">
        <f>IF('ن-فرعي'!H29&gt;0,'ن-فرعي'!H29,"")</f>
        <v>10000</v>
      </c>
      <c r="G22" s="16" t="str">
        <f>IF('ن-فرعي'!I29&gt;0,'ن-فرعي'!I29,"")</f>
        <v/>
      </c>
      <c r="H22" s="148">
        <f>IF('ن-فرعي'!J29&gt;0,'ن-فرعي'!J29,"")</f>
        <v>10000</v>
      </c>
      <c r="I22" s="112">
        <f t="shared" si="0"/>
        <v>1</v>
      </c>
    </row>
    <row r="23" spans="2:10" x14ac:dyDescent="0.2">
      <c r="B23" s="217">
        <f>IF('ن-فرعي'!D30&gt;0,'ن-فرعي'!D30,"")</f>
        <v>20117003</v>
      </c>
      <c r="C23" s="18" t="str">
        <f>IF('ن-فرعي'!E30&gt;0,'ن-فرعي'!E30,"")</f>
        <v>استئجار عمال بالاجرة اليومية</v>
      </c>
      <c r="D23" s="16">
        <f>IF('ن-فرعي'!F30&gt;0,'ن-فرعي'!F30,"")</f>
        <v>200000</v>
      </c>
      <c r="E23" s="16">
        <f>IF('ن-فرعي'!G30&gt;0,'ن-فرعي'!G30,"")</f>
        <v>200000</v>
      </c>
      <c r="F23" s="16">
        <f>IF('ن-فرعي'!H30&gt;0,'ن-فرعي'!H30,"")</f>
        <v>151593.25</v>
      </c>
      <c r="G23" s="16">
        <f>IF('ن-فرعي'!I30&gt;0,'ن-فرعي'!I30,"")</f>
        <v>7867.83</v>
      </c>
      <c r="H23" s="148">
        <f>IF('ن-فرعي'!J30&gt;0,'ن-فرعي'!J30,"")</f>
        <v>160000</v>
      </c>
      <c r="I23" s="112">
        <f t="shared" si="0"/>
        <v>0.8</v>
      </c>
    </row>
    <row r="24" spans="2:10" x14ac:dyDescent="0.2">
      <c r="B24" s="484" t="str">
        <f>'ن-فرعي'!B32:E32</f>
        <v>مجموع الفصل الأول: الرواتب والعلاوات والمكافآت</v>
      </c>
      <c r="C24" s="485"/>
      <c r="D24" s="144">
        <f>SUM(D6:D23)</f>
        <v>21912463</v>
      </c>
      <c r="E24" s="144">
        <f>SUM(E6:E23)</f>
        <v>22210463</v>
      </c>
      <c r="F24" s="144">
        <f>SUM(F6:F23)</f>
        <v>21185669.431000002</v>
      </c>
      <c r="G24" s="144">
        <f t="shared" ref="G24" si="1">SUM(G6:G23)</f>
        <v>27476.385000000002</v>
      </c>
      <c r="H24" s="144">
        <f>SUM(H6:H23)</f>
        <v>22113775</v>
      </c>
      <c r="I24" s="112">
        <f t="shared" si="0"/>
        <v>1.0091871005098787</v>
      </c>
    </row>
    <row r="25" spans="2:10" x14ac:dyDescent="0.2">
      <c r="B25" s="468" t="str">
        <f>'ن-فرعي'!B33:K33</f>
        <v>الفصل الثاني: التعويضات والتأمينات للعاملين</v>
      </c>
      <c r="C25" s="469"/>
      <c r="D25" s="469"/>
      <c r="E25" s="469"/>
      <c r="F25" s="469"/>
      <c r="G25" s="469"/>
      <c r="H25" s="469"/>
      <c r="I25" s="470"/>
    </row>
    <row r="26" spans="2:10" x14ac:dyDescent="0.2">
      <c r="B26" s="217">
        <f>IF('ن-فرعي'!D35&gt;0,'ن-فرعي'!D35,"")</f>
        <v>21101001</v>
      </c>
      <c r="C26" s="18" t="str">
        <f>IF('ن-فرعي'!E35&gt;0,'ن-فرعي'!E35,"")</f>
        <v>مساهمة الجامعة في صندوق الادخار</v>
      </c>
      <c r="D26" s="16">
        <f>IF('ن-فرعي'!F35&gt;0,'ن-فرعي'!F35,"")</f>
        <v>300000</v>
      </c>
      <c r="E26" s="16">
        <f>IF('ن-فرعي'!G35&gt;0,'ن-فرعي'!G35,"")</f>
        <v>307000</v>
      </c>
      <c r="F26" s="16">
        <f>IF('ن-فرعي'!H35&gt;0,'ن-فرعي'!H35,"")</f>
        <v>306687.57</v>
      </c>
      <c r="G26" s="16" t="str">
        <f>IF('ن-فرعي'!I35&gt;0,'ن-فرعي'!I35,"")</f>
        <v/>
      </c>
      <c r="H26" s="148">
        <f>IF('ن-فرعي'!J35&gt;0,'ن-فرعي'!J35,"")</f>
        <v>320000</v>
      </c>
      <c r="I26" s="112">
        <f t="shared" ref="I26:I31" si="2">IFERROR(H26/D26,"")</f>
        <v>1.0666666666666667</v>
      </c>
    </row>
    <row r="27" spans="2:10" x14ac:dyDescent="0.2">
      <c r="B27" s="217">
        <f>IF('ن-فرعي'!D38&gt;0,'ن-فرعي'!D38,"")</f>
        <v>21102001</v>
      </c>
      <c r="C27" s="18" t="str">
        <f>IF('ن-فرعي'!E38&gt;0,'ن-فرعي'!E38,"")</f>
        <v>مساهمة الجامعة في الضمان الاجتماعي</v>
      </c>
      <c r="D27" s="16">
        <f>IF('ن-فرعي'!F38&gt;0,'ن-فرعي'!F38,"")</f>
        <v>1800000</v>
      </c>
      <c r="E27" s="16">
        <f>IF('ن-فرعي'!G38&gt;0,'ن-فرعي'!G38,"")</f>
        <v>1810000</v>
      </c>
      <c r="F27" s="16">
        <f>IF('ن-فرعي'!H38&gt;0,'ن-فرعي'!H38,"")</f>
        <v>1809832.409</v>
      </c>
      <c r="G27" s="16" t="str">
        <f>IF('ن-فرعي'!I38&gt;0,'ن-فرعي'!I38,"")</f>
        <v/>
      </c>
      <c r="H27" s="148">
        <f>IF('ن-فرعي'!J38&gt;0,'ن-فرعي'!J38,"")</f>
        <v>1900000</v>
      </c>
      <c r="I27" s="112">
        <f t="shared" si="2"/>
        <v>1.0555555555555556</v>
      </c>
    </row>
    <row r="28" spans="2:10" x14ac:dyDescent="0.2">
      <c r="B28" s="217">
        <f>IF('ن-فرعي'!D41&gt;0,'ن-فرعي'!D41,"")</f>
        <v>21103001</v>
      </c>
      <c r="C28" s="18" t="str">
        <f>IF('ن-فرعي'!E41&gt;0,'ن-فرعي'!E41,"")</f>
        <v>مساهمة الجامعة في التامين الصحي للعاملين</v>
      </c>
      <c r="D28" s="16">
        <f>IF('ن-فرعي'!F41&gt;0,'ن-فرعي'!F41,"")</f>
        <v>900000</v>
      </c>
      <c r="E28" s="16">
        <f>IF('ن-فرعي'!G41&gt;0,'ن-فرعي'!G41,"")</f>
        <v>1250000</v>
      </c>
      <c r="F28" s="16">
        <f>IF('ن-فرعي'!H41&gt;0,'ن-فرعي'!H41,"")</f>
        <v>1237449.4110000001</v>
      </c>
      <c r="G28" s="16" t="str">
        <f>IF('ن-فرعي'!I41&gt;0,'ن-فرعي'!I41,"")</f>
        <v/>
      </c>
      <c r="H28" s="148">
        <f>IF('ن-فرعي'!J41&gt;0,'ن-فرعي'!J41,"")</f>
        <v>1200000</v>
      </c>
      <c r="I28" s="112">
        <f t="shared" si="2"/>
        <v>1.3333333333333333</v>
      </c>
    </row>
    <row r="29" spans="2:10" x14ac:dyDescent="0.2">
      <c r="B29" s="217">
        <f>IF('ن-فرعي'!D44&gt;0,'ن-فرعي'!D44,"")</f>
        <v>21104001</v>
      </c>
      <c r="C29" s="18" t="str">
        <f>IF('ن-فرعي'!E44&gt;0,'ن-فرعي'!E44,"")</f>
        <v>مساهمة الجامعة في التامين على حياة العاملين</v>
      </c>
      <c r="D29" s="16">
        <f>IF('ن-فرعي'!F44&gt;0,'ن-فرعي'!F44,"")</f>
        <v>30000</v>
      </c>
      <c r="E29" s="16">
        <f>IF('ن-فرعي'!G44&gt;0,'ن-فرعي'!G44,"")</f>
        <v>30000</v>
      </c>
      <c r="F29" s="16" t="str">
        <f>IF('ن-فرعي'!H44&gt;0,'ن-فرعي'!H44,"")</f>
        <v/>
      </c>
      <c r="G29" s="16">
        <f>IF('ن-فرعي'!I44&gt;0,'ن-فرعي'!I44,"")</f>
        <v>30000</v>
      </c>
      <c r="H29" s="148">
        <f>IF('ن-فرعي'!J44&gt;0,'ن-فرعي'!J44,"")</f>
        <v>30000</v>
      </c>
      <c r="I29" s="112">
        <f t="shared" si="2"/>
        <v>1</v>
      </c>
    </row>
    <row r="30" spans="2:10" x14ac:dyDescent="0.2">
      <c r="B30" s="217">
        <f>IF('ن-فرعي'!D47&gt;0,'ن-فرعي'!D47,"")</f>
        <v>21105001</v>
      </c>
      <c r="C30" s="18" t="str">
        <f>IF('ن-فرعي'!E47&gt;0,'ن-فرعي'!E47,"")</f>
        <v>مساهمة الجامعة في مكافأة نهاية الخدمة للعاملين</v>
      </c>
      <c r="D30" s="16">
        <f>IF('ن-فرعي'!F47&gt;0,'ن-فرعي'!F47,"")</f>
        <v>1500000</v>
      </c>
      <c r="E30" s="16">
        <f>IF('ن-فرعي'!G47&gt;0,'ن-فرعي'!G47,"")</f>
        <v>1522000</v>
      </c>
      <c r="F30" s="16">
        <f>IF('ن-فرعي'!H47&gt;0,'ن-فرعي'!H47,"")</f>
        <v>1521497.9469999999</v>
      </c>
      <c r="G30" s="16" t="str">
        <f>IF('ن-فرعي'!I47&gt;0,'ن-فرعي'!I47,"")</f>
        <v/>
      </c>
      <c r="H30" s="148">
        <f>IF('ن-فرعي'!J47&gt;0,'ن-فرعي'!J47,"")</f>
        <v>1000000</v>
      </c>
      <c r="I30" s="112">
        <f t="shared" si="2"/>
        <v>0.66666666666666663</v>
      </c>
    </row>
    <row r="31" spans="2:10" x14ac:dyDescent="0.2">
      <c r="B31" s="484" t="str">
        <f>'ن-فرعي'!B49</f>
        <v>مجموع الفصل الثاني: التعويضات والتأمينات للعاملين</v>
      </c>
      <c r="C31" s="485"/>
      <c r="D31" s="144">
        <f>SUM(D26:D30)</f>
        <v>4530000</v>
      </c>
      <c r="E31" s="144">
        <f>SUM(E26:E30)</f>
        <v>4919000</v>
      </c>
      <c r="F31" s="144">
        <f t="shared" ref="F31:H31" si="3">SUM(F26:F30)</f>
        <v>4875467.3369999994</v>
      </c>
      <c r="G31" s="144">
        <f t="shared" si="3"/>
        <v>30000</v>
      </c>
      <c r="H31" s="144">
        <f t="shared" si="3"/>
        <v>4450000</v>
      </c>
      <c r="I31" s="112">
        <f t="shared" si="2"/>
        <v>0.98233995584988965</v>
      </c>
    </row>
    <row r="32" spans="2:10" x14ac:dyDescent="0.2">
      <c r="B32" s="468" t="str">
        <f>'ن-فرعي'!B50:K50</f>
        <v>الفصل الثالث: اللوازم والمهمات والصيانة</v>
      </c>
      <c r="C32" s="469"/>
      <c r="D32" s="469"/>
      <c r="E32" s="469"/>
      <c r="F32" s="469"/>
      <c r="G32" s="469"/>
      <c r="H32" s="469"/>
      <c r="I32" s="470"/>
    </row>
    <row r="33" spans="2:10" x14ac:dyDescent="0.2">
      <c r="B33" s="217">
        <f>IF('ن-فرعي'!D52&gt;0,'ن-فرعي'!D52,"")</f>
        <v>21603003</v>
      </c>
      <c r="C33" s="18" t="str">
        <f>IF('ن-فرعي'!E52&gt;0,'ن-فرعي'!E52,"")</f>
        <v>صيانة الأجهزة الحاسوبية وملحقاتها</v>
      </c>
      <c r="D33" s="16">
        <f>IF('ن-فرعي'!F52&gt;0,'ن-فرعي'!F52,"")</f>
        <v>35000</v>
      </c>
      <c r="E33" s="16">
        <f>IF('ن-فرعي'!G52&gt;0,'ن-فرعي'!G52,"")</f>
        <v>35000</v>
      </c>
      <c r="F33" s="16">
        <f>IF('ن-فرعي'!H52&gt;0,'ن-فرعي'!H52,"")</f>
        <v>3138</v>
      </c>
      <c r="G33" s="16">
        <f>IF('ن-فرعي'!I52&gt;0,'ن-فرعي'!I52,"")</f>
        <v>18556</v>
      </c>
      <c r="H33" s="148">
        <f>IF('ن-فرعي'!J52&gt;0,'ن-فرعي'!J52,"")</f>
        <v>40000</v>
      </c>
      <c r="I33" s="112">
        <f t="shared" ref="I33:I51" si="4">IFERROR(H33/D33,"")</f>
        <v>1.1428571428571428</v>
      </c>
    </row>
    <row r="34" spans="2:10" x14ac:dyDescent="0.2">
      <c r="B34" s="217">
        <f>IF('ن-فرعي'!D53&gt;0,'ن-فرعي'!D53,"")</f>
        <v>21603004</v>
      </c>
      <c r="C34" s="18" t="str">
        <f>IF('ن-فرعي'!E53&gt;0,'ن-فرعي'!E53,"")</f>
        <v>صيانة الشبكة الحاسوبية</v>
      </c>
      <c r="D34" s="16">
        <f>IF('ن-فرعي'!F53&gt;0,'ن-فرعي'!F53,"")</f>
        <v>80000</v>
      </c>
      <c r="E34" s="16">
        <f>IF('ن-فرعي'!G53&gt;0,'ن-فرعي'!G53,"")</f>
        <v>80000</v>
      </c>
      <c r="F34" s="16">
        <f>IF('ن-فرعي'!H53&gt;0,'ن-فرعي'!H53,"")</f>
        <v>3402.5</v>
      </c>
      <c r="G34" s="16">
        <f>IF('ن-فرعي'!I53&gt;0,'ن-فرعي'!I53,"")</f>
        <v>67897.5</v>
      </c>
      <c r="H34" s="148">
        <f>IF('ن-فرعي'!J53&gt;0,'ن-فرعي'!J53,"")</f>
        <v>95000</v>
      </c>
      <c r="I34" s="112">
        <f t="shared" si="4"/>
        <v>1.1875</v>
      </c>
    </row>
    <row r="35" spans="2:10" x14ac:dyDescent="0.2">
      <c r="B35" s="217">
        <f>IF('ن-فرعي'!D54&gt;0,'ن-فرعي'!D54,"")</f>
        <v>21603006</v>
      </c>
      <c r="C35" s="18" t="str">
        <f>IF('ن-فرعي'!E54&gt;0,'ن-فرعي'!E54,"")</f>
        <v>صيانة موقع الحوسبة الرئيسي وملحقاته</v>
      </c>
      <c r="D35" s="16">
        <f>IF('ن-فرعي'!F54&gt;0,'ن-فرعي'!F54,"")</f>
        <v>50000</v>
      </c>
      <c r="E35" s="16">
        <f>IF('ن-فرعي'!G54&gt;0,'ن-فرعي'!G54,"")</f>
        <v>50000</v>
      </c>
      <c r="F35" s="16" t="str">
        <f>IF('ن-فرعي'!H54&gt;0,'ن-فرعي'!H54,"")</f>
        <v/>
      </c>
      <c r="G35" s="16">
        <f>IF('ن-فرعي'!I54&gt;0,'ن-فرعي'!I54,"")</f>
        <v>37200</v>
      </c>
      <c r="H35" s="148">
        <f>IF('ن-فرعي'!J54&gt;0,'ن-فرعي'!J54,"")</f>
        <v>60000</v>
      </c>
      <c r="I35" s="112">
        <f t="shared" si="4"/>
        <v>1.2</v>
      </c>
    </row>
    <row r="36" spans="2:10" x14ac:dyDescent="0.2">
      <c r="B36" s="217">
        <f>IF('ن-فرعي'!D57&gt;0,'ن-فرعي'!D57,"")</f>
        <v>21604001</v>
      </c>
      <c r="C36" s="18" t="str">
        <f>IF('ن-فرعي'!E57&gt;0,'ن-فرعي'!E57,"")</f>
        <v xml:space="preserve">مواد ولوازم وصيانة وعقود صيانة  المباني </v>
      </c>
      <c r="D36" s="16">
        <f>IF('ن-فرعي'!F57&gt;0,'ن-فرعي'!F57,"")</f>
        <v>50000</v>
      </c>
      <c r="E36" s="16">
        <f>IF('ن-فرعي'!G57&gt;0,'ن-فرعي'!G57,"")</f>
        <v>30000</v>
      </c>
      <c r="F36" s="16">
        <f>IF('ن-فرعي'!H57&gt;0,'ن-فرعي'!H57,"")</f>
        <v>10445.18</v>
      </c>
      <c r="G36" s="16">
        <f>IF('ن-فرعي'!I57&gt;0,'ن-فرعي'!I57,"")</f>
        <v>772.6</v>
      </c>
      <c r="H36" s="148">
        <f>IF('ن-فرعي'!J57&gt;0,'ن-فرعي'!J57,"")</f>
        <v>50000</v>
      </c>
      <c r="I36" s="112">
        <f t="shared" si="4"/>
        <v>1</v>
      </c>
    </row>
    <row r="37" spans="2:10" x14ac:dyDescent="0.2">
      <c r="B37" s="217">
        <f>IF('ن-فرعي'!D58&gt;0,'ن-فرعي'!D58,"")</f>
        <v>21604002</v>
      </c>
      <c r="C37" s="18" t="str">
        <f>IF('ن-فرعي'!E58&gt;0,'ن-فرعي'!E58,"")</f>
        <v xml:space="preserve">مواد ولوازم وقطع غيار وعقود صيانة التجهيزات والأجهزة والمعدات </v>
      </c>
      <c r="D37" s="16">
        <f>IF('ن-فرعي'!F58&gt;0,'ن-فرعي'!F58,"")</f>
        <v>60000</v>
      </c>
      <c r="E37" s="16">
        <f>IF('ن-فرعي'!G58&gt;0,'ن-فرعي'!G58,"")</f>
        <v>45000</v>
      </c>
      <c r="F37" s="16">
        <f>IF('ن-فرعي'!H58&gt;0,'ن-فرعي'!H58,"")</f>
        <v>20260.401000000002</v>
      </c>
      <c r="G37" s="16">
        <f>IF('ن-فرعي'!I58&gt;0,'ن-فرعي'!I58,"")</f>
        <v>22843.544999999998</v>
      </c>
      <c r="H37" s="148">
        <f>IF('ن-فرعي'!J58&gt;0,'ن-فرعي'!J58,"")</f>
        <v>60000</v>
      </c>
      <c r="I37" s="112">
        <f t="shared" si="4"/>
        <v>1</v>
      </c>
    </row>
    <row r="38" spans="2:10" x14ac:dyDescent="0.2">
      <c r="B38" s="217">
        <f>IF('ن-فرعي'!D59&gt;0,'ن-فرعي'!D59,"")</f>
        <v>21604004</v>
      </c>
      <c r="C38" s="18" t="str">
        <f>IF('ن-فرعي'!E59&gt;0,'ن-فرعي'!E59,"")</f>
        <v>مواد ولوازم صيانة طفايات الحريق</v>
      </c>
      <c r="D38" s="16">
        <f>IF('ن-فرعي'!F59&gt;0,'ن-فرعي'!F59,"")</f>
        <v>5000</v>
      </c>
      <c r="E38" s="16">
        <f>IF('ن-فرعي'!G59&gt;0,'ن-فرعي'!G59,"")</f>
        <v>5000</v>
      </c>
      <c r="F38" s="16">
        <f>IF('ن-فرعي'!H59&gt;0,'ن-فرعي'!H59,"")</f>
        <v>684.02</v>
      </c>
      <c r="G38" s="16">
        <f>IF('ن-فرعي'!I59&gt;0,'ن-فرعي'!I59,"")</f>
        <v>1365.98</v>
      </c>
      <c r="H38" s="148">
        <f>IF('ن-فرعي'!J59&gt;0,'ن-فرعي'!J59,"")</f>
        <v>5000</v>
      </c>
      <c r="I38" s="112">
        <f t="shared" si="4"/>
        <v>1</v>
      </c>
    </row>
    <row r="39" spans="2:10" x14ac:dyDescent="0.2">
      <c r="B39" s="217">
        <f>IF('ن-فرعي'!D60&gt;0,'ن-فرعي'!D60,"")</f>
        <v>21604010</v>
      </c>
      <c r="C39" s="18" t="str">
        <f>IF('ن-فرعي'!E60&gt;0,'ن-فرعي'!E60,"")</f>
        <v>مواد ولوازم شعبة المفاتيح</v>
      </c>
      <c r="D39" s="16">
        <f>IF('ن-فرعي'!F60&gt;0,'ن-فرعي'!F60,"")</f>
        <v>1500</v>
      </c>
      <c r="E39" s="16">
        <f>IF('ن-فرعي'!G60&gt;0,'ن-فرعي'!G60,"")</f>
        <v>1500</v>
      </c>
      <c r="F39" s="16">
        <f>IF('ن-فرعي'!H60&gt;0,'ن-فرعي'!H60,"")</f>
        <v>247.25</v>
      </c>
      <c r="G39" s="16" t="str">
        <f>IF('ن-فرعي'!I60&gt;0,'ن-فرعي'!I60,"")</f>
        <v/>
      </c>
      <c r="H39" s="148">
        <f>IF('ن-فرعي'!J60&gt;0,'ن-فرعي'!J60,"")</f>
        <v>1500</v>
      </c>
      <c r="I39" s="112">
        <f t="shared" si="4"/>
        <v>1</v>
      </c>
    </row>
    <row r="40" spans="2:10" s="46" customFormat="1" x14ac:dyDescent="0.2">
      <c r="B40" s="218" t="str">
        <f>IF('ن-فرعي'!D61&gt;0,'ن-فرعي'!D61,"")</f>
        <v/>
      </c>
      <c r="C40" s="62" t="str">
        <f>IF('ن-فرعي'!E61&gt;0,'ن-فرعي'!E61,"")</f>
        <v>صيانة وتشغيل نظام الطاقة الشمسية</v>
      </c>
      <c r="D40" s="247" t="str">
        <f>IF('ن-فرعي'!F61&gt;0,'ن-فرعي'!F61,"")</f>
        <v/>
      </c>
      <c r="E40" s="247" t="str">
        <f>IF('ن-فرعي'!G61&gt;0,'ن-فرعي'!G61,"")</f>
        <v/>
      </c>
      <c r="F40" s="247" t="str">
        <f>IF('ن-فرعي'!H61&gt;0,'ن-فرعي'!H61,"")</f>
        <v/>
      </c>
      <c r="G40" s="247" t="str">
        <f>IF('ن-فرعي'!I61&gt;0,'ن-فرعي'!I61,"")</f>
        <v/>
      </c>
      <c r="H40" s="148">
        <f>IF('ن-فرعي'!J61&gt;0,'ن-فرعي'!J61,"")</f>
        <v>100000</v>
      </c>
      <c r="I40" s="112" t="str">
        <f t="shared" si="4"/>
        <v/>
      </c>
      <c r="J40" s="15"/>
    </row>
    <row r="41" spans="2:10" x14ac:dyDescent="0.2">
      <c r="B41" s="217">
        <f>IF('ن-فرعي'!D64&gt;0,'ن-فرعي'!D64,"")</f>
        <v>21605001</v>
      </c>
      <c r="C41" s="18" t="str">
        <f>IF('ن-فرعي'!E64&gt;0,'ن-فرعي'!E64,"")</f>
        <v>مواد تنظيف ومبيدات الوقاية الصحية وعقود النظافة العامة</v>
      </c>
      <c r="D41" s="16">
        <f>IF('ن-فرعي'!F64&gt;0,'ن-فرعي'!F64,"")</f>
        <v>50000</v>
      </c>
      <c r="E41" s="16">
        <f>IF('ن-فرعي'!G64&gt;0,'ن-فرعي'!G64,"")</f>
        <v>50000</v>
      </c>
      <c r="F41" s="16">
        <f>IF('ن-فرعي'!H64&gt;0,'ن-فرعي'!H64,"")</f>
        <v>9726.81</v>
      </c>
      <c r="G41" s="16">
        <f>IF('ن-فرعي'!I64&gt;0,'ن-فرعي'!I64,"")</f>
        <v>7326.49</v>
      </c>
      <c r="H41" s="148">
        <f>IF('ن-فرعي'!J64&gt;0,'ن-فرعي'!J64,"")</f>
        <v>50000</v>
      </c>
      <c r="I41" s="112">
        <f t="shared" si="4"/>
        <v>1</v>
      </c>
    </row>
    <row r="42" spans="2:10" x14ac:dyDescent="0.2">
      <c r="B42" s="217">
        <f>IF('ن-فرعي'!D67&gt;0,'ن-فرعي'!D67,"")</f>
        <v>21606001</v>
      </c>
      <c r="C42" s="18" t="str">
        <f>IF('ن-فرعي'!E67&gt;0,'ن-فرعي'!E67,"")</f>
        <v>ملابس المستخدمين</v>
      </c>
      <c r="D42" s="16">
        <f>IF('ن-فرعي'!F67&gt;0,'ن-فرعي'!F67,"")</f>
        <v>38000</v>
      </c>
      <c r="E42" s="16">
        <f>IF('ن-فرعي'!G67&gt;0,'ن-فرعي'!G67,"")</f>
        <v>38000</v>
      </c>
      <c r="F42" s="16">
        <f>IF('ن-فرعي'!H67&gt;0,'ن-فرعي'!H67,"")</f>
        <v>1800</v>
      </c>
      <c r="G42" s="16">
        <f>IF('ن-فرعي'!I67&gt;0,'ن-فرعي'!I67,"")</f>
        <v>1500</v>
      </c>
      <c r="H42" s="148">
        <f>IF('ن-فرعي'!J67&gt;0,'ن-فرعي'!J67,"")</f>
        <v>30000</v>
      </c>
      <c r="I42" s="112">
        <f t="shared" si="4"/>
        <v>0.78947368421052633</v>
      </c>
    </row>
    <row r="43" spans="2:10" x14ac:dyDescent="0.2">
      <c r="B43" s="217">
        <f>IF('ن-فرعي'!D68&gt;0,'ن-فرعي'!D68,"")</f>
        <v>21606002</v>
      </c>
      <c r="C43" s="18" t="str">
        <f>IF('ن-فرعي'!E68&gt;0,'ن-فرعي'!E68,"")</f>
        <v>ملابس فرق عمادة شؤون الطلبة</v>
      </c>
      <c r="D43" s="16">
        <f>IF('ن-فرعي'!F68&gt;0,'ن-فرعي'!F68,"")</f>
        <v>7000</v>
      </c>
      <c r="E43" s="16">
        <f>IF('ن-فرعي'!G68&gt;0,'ن-فرعي'!G68,"")</f>
        <v>7000</v>
      </c>
      <c r="F43" s="16" t="str">
        <f>IF('ن-فرعي'!H68&gt;0,'ن-فرعي'!H68,"")</f>
        <v/>
      </c>
      <c r="G43" s="16" t="str">
        <f>IF('ن-فرعي'!I68&gt;0,'ن-فرعي'!I68,"")</f>
        <v/>
      </c>
      <c r="H43" s="148">
        <f>IF('ن-فرعي'!J68&gt;0,'ن-فرعي'!J68,"")</f>
        <v>7000</v>
      </c>
      <c r="I43" s="112">
        <f t="shared" si="4"/>
        <v>1</v>
      </c>
    </row>
    <row r="44" spans="2:10" x14ac:dyDescent="0.2">
      <c r="B44" s="217">
        <f>IF('ن-فرعي'!D69&gt;0,'ن-فرعي'!D69,"")</f>
        <v>21606003</v>
      </c>
      <c r="C44" s="18" t="str">
        <f>IF('ن-فرعي'!E69&gt;0,'ن-فرعي'!E69,"")</f>
        <v>ملابس العلاقات العامه</v>
      </c>
      <c r="D44" s="16">
        <f>IF('ن-فرعي'!F69&gt;0,'ن-فرعي'!F69,"")</f>
        <v>500</v>
      </c>
      <c r="E44" s="16">
        <f>IF('ن-فرعي'!G69&gt;0,'ن-فرعي'!G69,"")</f>
        <v>500</v>
      </c>
      <c r="F44" s="16" t="str">
        <f>IF('ن-فرعي'!H69&gt;0,'ن-فرعي'!H69,"")</f>
        <v/>
      </c>
      <c r="G44" s="16" t="str">
        <f>IF('ن-فرعي'!I69&gt;0,'ن-فرعي'!I69,"")</f>
        <v/>
      </c>
      <c r="H44" s="148">
        <f>IF('ن-فرعي'!J69&gt;0,'ن-فرعي'!J69,"")</f>
        <v>500</v>
      </c>
      <c r="I44" s="112">
        <f t="shared" si="4"/>
        <v>1</v>
      </c>
    </row>
    <row r="45" spans="2:10" x14ac:dyDescent="0.2">
      <c r="B45" s="217">
        <f>IF('ن-فرعي'!D72&gt;0,'ن-فرعي'!D72,"")</f>
        <v>21607001</v>
      </c>
      <c r="C45" s="18" t="str">
        <f>IF('ن-فرعي'!E72&gt;0,'ن-فرعي'!E72,"")</f>
        <v>قرطاسية ولوازم مكتبية</v>
      </c>
      <c r="D45" s="16">
        <f>IF('ن-فرعي'!F72&gt;0,'ن-فرعي'!F72,"")</f>
        <v>70000</v>
      </c>
      <c r="E45" s="16">
        <f>IF('ن-فرعي'!G72&gt;0,'ن-فرعي'!G72,"")</f>
        <v>70000</v>
      </c>
      <c r="F45" s="16">
        <f>IF('ن-فرعي'!H72&gt;0,'ن-فرعي'!H72,"")</f>
        <v>18599.789000000001</v>
      </c>
      <c r="G45" s="16">
        <f>IF('ن-فرعي'!I72&gt;0,'ن-فرعي'!I72,"")</f>
        <v>43215.250999999997</v>
      </c>
      <c r="H45" s="148">
        <f>IF('ن-فرعي'!J72&gt;0,'ن-فرعي'!J72,"")</f>
        <v>70000</v>
      </c>
      <c r="I45" s="112">
        <f t="shared" si="4"/>
        <v>1</v>
      </c>
    </row>
    <row r="46" spans="2:10" x14ac:dyDescent="0.2">
      <c r="B46" s="217">
        <f>IF('ن-فرعي'!D73&gt;0,'ن-فرعي'!D73,"")</f>
        <v>21607004</v>
      </c>
      <c r="C46" s="18" t="str">
        <f>IF('ن-فرعي'!E73&gt;0,'ن-فرعي'!E73,"")</f>
        <v>أحبار</v>
      </c>
      <c r="D46" s="16">
        <f>IF('ن-فرعي'!F73&gt;0,'ن-فرعي'!F73,"")</f>
        <v>15000</v>
      </c>
      <c r="E46" s="16">
        <f>IF('ن-فرعي'!G73&gt;0,'ن-فرعي'!G73,"")</f>
        <v>15000</v>
      </c>
      <c r="F46" s="16">
        <f>IF('ن-فرعي'!H73&gt;0,'ن-فرعي'!H73,"")</f>
        <v>11039.035</v>
      </c>
      <c r="G46" s="16">
        <f>IF('ن-فرعي'!I73&gt;0,'ن-فرعي'!I73,"")</f>
        <v>1667.442</v>
      </c>
      <c r="H46" s="148">
        <f>IF('ن-فرعي'!J73&gt;0,'ن-فرعي'!J73,"")</f>
        <v>15000</v>
      </c>
      <c r="I46" s="112">
        <f t="shared" si="4"/>
        <v>1</v>
      </c>
    </row>
    <row r="47" spans="2:10" s="46" customFormat="1" x14ac:dyDescent="0.2">
      <c r="B47" s="218" t="str">
        <f>IF('ن-فرعي'!D74&gt;0,'ن-فرعي'!D74,"")</f>
        <v/>
      </c>
      <c r="C47" s="63" t="str">
        <f>IF('ن-فرعي'!E74&gt;0,'ن-فرعي'!E74,"")</f>
        <v>شهادات وحافظات تخرج</v>
      </c>
      <c r="D47" s="248" t="str">
        <f>IF('ن-فرعي'!F74&gt;0,'ن-فرعي'!F74,"")</f>
        <v/>
      </c>
      <c r="E47" s="248" t="str">
        <f>IF('ن-فرعي'!G74&gt;0,'ن-فرعي'!G74,"")</f>
        <v/>
      </c>
      <c r="F47" s="248" t="str">
        <f>IF('ن-فرعي'!H74&gt;0,'ن-فرعي'!H74,"")</f>
        <v/>
      </c>
      <c r="G47" s="248" t="str">
        <f>IF('ن-فرعي'!I74&gt;0,'ن-فرعي'!I74,"")</f>
        <v/>
      </c>
      <c r="H47" s="148">
        <f>IF('ن-فرعي'!J74&gt;0,'ن-فرعي'!J74,"")</f>
        <v>7000</v>
      </c>
      <c r="I47" s="112" t="str">
        <f t="shared" si="4"/>
        <v/>
      </c>
      <c r="J47" s="15"/>
    </row>
    <row r="48" spans="2:10" x14ac:dyDescent="0.2">
      <c r="B48" s="217">
        <f>IF('ن-فرعي'!D78&gt;0,'ن-فرعي'!D78,"")</f>
        <v>21609001</v>
      </c>
      <c r="C48" s="18" t="str">
        <f>IF('ن-فرعي'!E78&gt;0,'ن-فرعي'!E78,"")</f>
        <v>اسمدة ومبيدات ولوازم زراعية</v>
      </c>
      <c r="D48" s="16">
        <f>IF('ن-فرعي'!F78&gt;0,'ن-فرعي'!F78,"")</f>
        <v>5000</v>
      </c>
      <c r="E48" s="16">
        <f>IF('ن-فرعي'!G78&gt;0,'ن-فرعي'!G78,"")</f>
        <v>5000</v>
      </c>
      <c r="F48" s="16" t="str">
        <f>IF('ن-فرعي'!H78&gt;0,'ن-فرعي'!H78,"")</f>
        <v/>
      </c>
      <c r="G48" s="16" t="str">
        <f>IF('ن-فرعي'!I78&gt;0,'ن-فرعي'!I78,"")</f>
        <v/>
      </c>
      <c r="H48" s="148">
        <f>IF('ن-فرعي'!J78&gt;0,'ن-فرعي'!J78,"")</f>
        <v>15000</v>
      </c>
      <c r="I48" s="112">
        <f t="shared" si="4"/>
        <v>3</v>
      </c>
    </row>
    <row r="49" spans="2:10" x14ac:dyDescent="0.2">
      <c r="B49" s="217">
        <f>IF('ن-فرعي'!D79&gt;0,'ن-فرعي'!D79,"")</f>
        <v>21609002</v>
      </c>
      <c r="C49" s="18" t="str">
        <f>IF('ن-فرعي'!E79&gt;0,'ن-فرعي'!E79,"")</f>
        <v>مواد ولوازم وقطع غيار وصيانة الشبكات والآبار الارتوازية</v>
      </c>
      <c r="D49" s="16">
        <f>IF('ن-فرعي'!F79&gt;0,'ن-فرعي'!F79,"")</f>
        <v>15000</v>
      </c>
      <c r="E49" s="16">
        <f>IF('ن-فرعي'!G79&gt;0,'ن-فرعي'!G79,"")</f>
        <v>50000</v>
      </c>
      <c r="F49" s="16">
        <f>IF('ن-فرعي'!H79&gt;0,'ن-فرعي'!H79,"")</f>
        <v>23808.9</v>
      </c>
      <c r="G49" s="16">
        <f>IF('ن-فرعي'!I79&gt;0,'ن-فرعي'!I79,"")</f>
        <v>16376.075000000001</v>
      </c>
      <c r="H49" s="148">
        <f>IF('ن-فرعي'!J79&gt;0,'ن-فرعي'!J79,"")</f>
        <v>25000</v>
      </c>
      <c r="I49" s="112">
        <f t="shared" si="4"/>
        <v>1.6666666666666667</v>
      </c>
    </row>
    <row r="50" spans="2:10" x14ac:dyDescent="0.2">
      <c r="B50" s="217">
        <f>IF('ن-فرعي'!D82&gt;0,'ن-فرعي'!D82,"")</f>
        <v>21610001</v>
      </c>
      <c r="C50" s="16" t="str">
        <f>IF('ن-فرعي'!E82&gt;0,'ن-فرعي'!E82,"")</f>
        <v>أعلام ومستلزماتها</v>
      </c>
      <c r="D50" s="16">
        <f>IF('ن-فرعي'!F82&gt;0,'ن-فرعي'!F82,"")</f>
        <v>4000</v>
      </c>
      <c r="E50" s="16">
        <f>IF('ن-فرعي'!G82&gt;0,'ن-فرعي'!G82,"")</f>
        <v>4000</v>
      </c>
      <c r="F50" s="16" t="str">
        <f>IF('ن-فرعي'!H82&gt;0,'ن-فرعي'!H82,"")</f>
        <v/>
      </c>
      <c r="G50" s="16" t="str">
        <f>IF('ن-فرعي'!I82&gt;0,'ن-فرعي'!I82,"")</f>
        <v/>
      </c>
      <c r="H50" s="148">
        <f>IF('ن-فرعي'!J82&gt;0,'ن-فرعي'!J82,"")</f>
        <v>4000</v>
      </c>
      <c r="I50" s="112">
        <f t="shared" si="4"/>
        <v>1</v>
      </c>
    </row>
    <row r="51" spans="2:10" x14ac:dyDescent="0.2">
      <c r="B51" s="484" t="str">
        <f>'ن-فرعي'!B84</f>
        <v>مجموع الفصل الثالث: اللوازم والمهمات والصيانة</v>
      </c>
      <c r="C51" s="485"/>
      <c r="D51" s="144">
        <f t="shared" ref="D51:H51" si="5">SUM(D33:D50)</f>
        <v>486000</v>
      </c>
      <c r="E51" s="144">
        <f>SUM(E33:E50)</f>
        <v>486000</v>
      </c>
      <c r="F51" s="144">
        <f t="shared" si="5"/>
        <v>103151.88500000001</v>
      </c>
      <c r="G51" s="144">
        <f t="shared" si="5"/>
        <v>218720.88300000003</v>
      </c>
      <c r="H51" s="144">
        <f t="shared" si="5"/>
        <v>635000</v>
      </c>
      <c r="I51" s="112">
        <f t="shared" si="4"/>
        <v>1.3065843621399178</v>
      </c>
    </row>
    <row r="52" spans="2:10" x14ac:dyDescent="0.2">
      <c r="B52" s="468" t="str">
        <f>'ن-فرعي'!B85:K85</f>
        <v>الفصل الرابع: دعم الصناديق والخدمات والنشاطات الطلابية</v>
      </c>
      <c r="C52" s="469"/>
      <c r="D52" s="469"/>
      <c r="E52" s="469"/>
      <c r="F52" s="469"/>
      <c r="G52" s="469"/>
      <c r="H52" s="469"/>
      <c r="I52" s="470"/>
    </row>
    <row r="53" spans="2:10" x14ac:dyDescent="0.2">
      <c r="B53" s="217">
        <f>IF('ن-فرعي'!D87&gt;0,'ن-فرعي'!D87,"")</f>
        <v>22601001</v>
      </c>
      <c r="C53" s="18" t="str">
        <f>IF('ن-فرعي'!E87&gt;0,'ن-فرعي'!E87,"")</f>
        <v>النشاطات والرحلات والندوات الطلابية وورش العمل والتدريب</v>
      </c>
      <c r="D53" s="16">
        <f>IF('ن-فرعي'!F87&gt;0,'ن-فرعي'!F87,"")</f>
        <v>41000</v>
      </c>
      <c r="E53" s="16">
        <f>IF('ن-فرعي'!G87&gt;0,'ن-فرعي'!G87,"")</f>
        <v>40800</v>
      </c>
      <c r="F53" s="16">
        <f>IF('ن-فرعي'!H87&gt;0,'ن-فرعي'!H87,"")</f>
        <v>14069.2</v>
      </c>
      <c r="G53" s="16">
        <f>IF('ن-فرعي'!I87&gt;0,'ن-فرعي'!I87,"")</f>
        <v>1864</v>
      </c>
      <c r="H53" s="148">
        <f>IF('ن-فرعي'!J87&gt;0,'ن-فرعي'!J87,"")</f>
        <v>37000</v>
      </c>
      <c r="I53" s="112">
        <f t="shared" ref="I53:I66" si="6">IFERROR(H53/D53,"")</f>
        <v>0.90243902439024393</v>
      </c>
    </row>
    <row r="54" spans="2:10" s="46" customFormat="1" x14ac:dyDescent="0.2">
      <c r="B54" s="218" t="str">
        <f>IF('ن-فرعي'!D88&gt;0,'ن-فرعي'!D88,"")</f>
        <v/>
      </c>
      <c r="C54" s="63" t="str">
        <f>IF('ن-فرعي'!E88&gt;0,'ن-فرعي'!E88,"")</f>
        <v>دراسات اقتصادية واجتماعية وانشطة متنوعة</v>
      </c>
      <c r="D54" s="248" t="str">
        <f>IF('ن-فرعي'!F88&gt;0,'ن-فرعي'!F88,"")</f>
        <v/>
      </c>
      <c r="E54" s="248" t="str">
        <f>IF('ن-فرعي'!G88&gt;0,'ن-فرعي'!G88,"")</f>
        <v/>
      </c>
      <c r="F54" s="248" t="str">
        <f>IF('ن-فرعي'!H88&gt;0,'ن-فرعي'!H88,"")</f>
        <v/>
      </c>
      <c r="G54" s="248" t="str">
        <f>IF('ن-فرعي'!I88&gt;0,'ن-فرعي'!I88,"")</f>
        <v/>
      </c>
      <c r="H54" s="148">
        <f>IF('ن-فرعي'!J88&gt;0,'ن-فرعي'!J88,"")</f>
        <v>5000</v>
      </c>
      <c r="I54" s="112" t="str">
        <f t="shared" si="6"/>
        <v/>
      </c>
      <c r="J54" s="15"/>
    </row>
    <row r="55" spans="2:10" x14ac:dyDescent="0.2">
      <c r="B55" s="217">
        <f>IF('ن-فرعي'!D89&gt;0,'ن-فرعي'!D89,"")</f>
        <v>22601003</v>
      </c>
      <c r="C55" s="18" t="str">
        <f>IF('ن-فرعي'!E89&gt;0,'ن-فرعي'!E89,"")</f>
        <v>جوائز ومكافئات تشجيعية</v>
      </c>
      <c r="D55" s="16">
        <f>IF('ن-فرعي'!F89&gt;0,'ن-فرعي'!F89,"")</f>
        <v>5000</v>
      </c>
      <c r="E55" s="16">
        <f>IF('ن-فرعي'!G89&gt;0,'ن-فرعي'!G89,"")</f>
        <v>5000</v>
      </c>
      <c r="F55" s="16">
        <f>IF('ن-فرعي'!H89&gt;0,'ن-فرعي'!H89,"")</f>
        <v>800</v>
      </c>
      <c r="G55" s="16" t="str">
        <f>IF('ن-فرعي'!I89&gt;0,'ن-فرعي'!I89,"")</f>
        <v/>
      </c>
      <c r="H55" s="148">
        <f>IF('ن-فرعي'!J89&gt;0,'ن-فرعي'!J89,"")</f>
        <v>7000</v>
      </c>
      <c r="I55" s="112">
        <f t="shared" si="6"/>
        <v>1.4</v>
      </c>
    </row>
    <row r="56" spans="2:10" x14ac:dyDescent="0.2">
      <c r="B56" s="217">
        <f>IF('ن-فرعي'!D90&gt;0,'ن-فرعي'!D90,"")</f>
        <v>22601006</v>
      </c>
      <c r="C56" s="18" t="str">
        <f>IF('ن-فرعي'!E90&gt;0,'ن-فرعي'!E90,"")</f>
        <v xml:space="preserve">أرواب التخريج </v>
      </c>
      <c r="D56" s="16">
        <f>IF('ن-فرعي'!F90&gt;0,'ن-فرعي'!F90,"")</f>
        <v>15000</v>
      </c>
      <c r="E56" s="16">
        <f>IF('ن-فرعي'!G90&gt;0,'ن-فرعي'!G90,"")</f>
        <v>15000</v>
      </c>
      <c r="F56" s="16" t="str">
        <f>IF('ن-فرعي'!H90&gt;0,'ن-فرعي'!H90,"")</f>
        <v/>
      </c>
      <c r="G56" s="16" t="str">
        <f>IF('ن-فرعي'!I90&gt;0,'ن-فرعي'!I90,"")</f>
        <v/>
      </c>
      <c r="H56" s="148">
        <f>IF('ن-فرعي'!J90&gt;0,'ن-فرعي'!J90,"")</f>
        <v>15000</v>
      </c>
      <c r="I56" s="112">
        <f t="shared" si="6"/>
        <v>1</v>
      </c>
    </row>
    <row r="57" spans="2:10" x14ac:dyDescent="0.2">
      <c r="B57" s="217">
        <f>IF('ن-فرعي'!D91&gt;0,'ن-فرعي'!D91,"")</f>
        <v>22601009</v>
      </c>
      <c r="C57" s="18" t="str">
        <f>IF('ن-فرعي'!E91&gt;0,'ن-فرعي'!E91,"")</f>
        <v>نفقات التخريج</v>
      </c>
      <c r="D57" s="16">
        <f>IF('ن-فرعي'!F91&gt;0,'ن-فرعي'!F91,"")</f>
        <v>5000</v>
      </c>
      <c r="E57" s="16">
        <f>IF('ن-فرعي'!G91&gt;0,'ن-فرعي'!G91,"")</f>
        <v>5000</v>
      </c>
      <c r="F57" s="16">
        <f>IF('ن-فرعي'!H91&gt;0,'ن-فرعي'!H91,"")</f>
        <v>1024.1669999999999</v>
      </c>
      <c r="G57" s="16">
        <f>IF('ن-فرعي'!I91&gt;0,'ن-فرعي'!I91,"")</f>
        <v>105.789</v>
      </c>
      <c r="H57" s="148">
        <f>IF('ن-فرعي'!J91&gt;0,'ن-فرعي'!J91,"")</f>
        <v>5000</v>
      </c>
      <c r="I57" s="112">
        <f t="shared" si="6"/>
        <v>1</v>
      </c>
    </row>
    <row r="58" spans="2:10" x14ac:dyDescent="0.2">
      <c r="B58" s="217">
        <f>IF('ن-فرعي'!D94&gt;0,'ن-فرعي'!D94,"")</f>
        <v>22602001</v>
      </c>
      <c r="C58" s="18" t="str">
        <f>IF('ن-فرعي'!E94&gt;0,'ن-فرعي'!E94,"")</f>
        <v>دعم صندوق الطلبة</v>
      </c>
      <c r="D58" s="16">
        <f>IF('ن-فرعي'!F94&gt;0,'ن-فرعي'!F94,"")</f>
        <v>30000</v>
      </c>
      <c r="E58" s="16">
        <f>IF('ن-فرعي'!G94&gt;0,'ن-فرعي'!G94,"")</f>
        <v>30000</v>
      </c>
      <c r="F58" s="16">
        <f>IF('ن-فرعي'!H94&gt;0,'ن-فرعي'!H94,"")</f>
        <v>30000</v>
      </c>
      <c r="G58" s="16" t="str">
        <f>IF('ن-فرعي'!I94&gt;0,'ن-فرعي'!I94,"")</f>
        <v/>
      </c>
      <c r="H58" s="148">
        <f>IF('ن-فرعي'!J94&gt;0,'ن-فرعي'!J94,"")</f>
        <v>100000</v>
      </c>
      <c r="I58" s="112">
        <f t="shared" si="6"/>
        <v>3.3333333333333335</v>
      </c>
    </row>
    <row r="59" spans="2:10" x14ac:dyDescent="0.2">
      <c r="B59" s="217">
        <f>IF('ن-فرعي'!D97&gt;0,'ن-فرعي'!D97,"")</f>
        <v>22603001</v>
      </c>
      <c r="C59" s="18" t="str">
        <f>IF('ن-فرعي'!E97&gt;0,'ن-فرعي'!E97,"")</f>
        <v>التامين الصحي للطلبة</v>
      </c>
      <c r="D59" s="16">
        <f>IF('ن-فرعي'!F97&gt;0,'ن-فرعي'!F97,"")</f>
        <v>70000</v>
      </c>
      <c r="E59" s="16">
        <f>IF('ن-فرعي'!G97&gt;0,'ن-فرعي'!G97,"")</f>
        <v>115000</v>
      </c>
      <c r="F59" s="16">
        <f>IF('ن-فرعي'!H97&gt;0,'ن-فرعي'!H97,"")</f>
        <v>111649.55</v>
      </c>
      <c r="G59" s="16" t="str">
        <f>IF('ن-فرعي'!I97&gt;0,'ن-فرعي'!I97,"")</f>
        <v/>
      </c>
      <c r="H59" s="148">
        <f>IF('ن-فرعي'!J97&gt;0,'ن-فرعي'!J97,"")</f>
        <v>120000</v>
      </c>
      <c r="I59" s="112">
        <f t="shared" si="6"/>
        <v>1.7142857142857142</v>
      </c>
    </row>
    <row r="60" spans="2:10" x14ac:dyDescent="0.2">
      <c r="B60" s="217">
        <f>IF('ن-فرعي'!D100&gt;0,'ن-فرعي'!D100,"")</f>
        <v>22604001</v>
      </c>
      <c r="C60" s="18" t="str">
        <f>IF('ن-فرعي'!E100&gt;0,'ن-فرعي'!E100,"")</f>
        <v>التامين على حياة الطلبة</v>
      </c>
      <c r="D60" s="16">
        <f>IF('ن-فرعي'!F100&gt;0,'ن-فرعي'!F100,"")</f>
        <v>25000</v>
      </c>
      <c r="E60" s="16">
        <f>IF('ن-فرعي'!G100&gt;0,'ن-فرعي'!G100,"")</f>
        <v>25000</v>
      </c>
      <c r="F60" s="16" t="str">
        <f>IF('ن-فرعي'!H100&gt;0,'ن-فرعي'!H100,"")</f>
        <v/>
      </c>
      <c r="G60" s="16" t="str">
        <f>IF('ن-فرعي'!I100&gt;0,'ن-فرعي'!I100,"")</f>
        <v/>
      </c>
      <c r="H60" s="148">
        <f>IF('ن-فرعي'!J100&gt;0,'ن-فرعي'!J100,"")</f>
        <v>25000</v>
      </c>
      <c r="I60" s="112">
        <f t="shared" si="6"/>
        <v>1</v>
      </c>
    </row>
    <row r="61" spans="2:10" x14ac:dyDescent="0.2">
      <c r="B61" s="217">
        <f>IF('ن-فرعي'!D103&gt;0,'ن-فرعي'!D103,"")</f>
        <v>22605002</v>
      </c>
      <c r="C61" s="18" t="str">
        <f>IF('ن-فرعي'!E103&gt;0,'ن-فرعي'!E103,"")</f>
        <v>الكتاب السنوي</v>
      </c>
      <c r="D61" s="16">
        <f>IF('ن-فرعي'!F103&gt;0,'ن-فرعي'!F103,"")</f>
        <v>15000</v>
      </c>
      <c r="E61" s="16">
        <f>IF('ن-فرعي'!G103&gt;0,'ن-فرعي'!G103,"")</f>
        <v>15000</v>
      </c>
      <c r="F61" s="16" t="str">
        <f>IF('ن-فرعي'!H103&gt;0,'ن-فرعي'!H103,"")</f>
        <v/>
      </c>
      <c r="G61" s="16">
        <f>IF('ن-فرعي'!I103&gt;0,'ن-فرعي'!I103,"")</f>
        <v>10500</v>
      </c>
      <c r="H61" s="148">
        <f>IF('ن-فرعي'!J103&gt;0,'ن-فرعي'!J103,"")</f>
        <v>15000</v>
      </c>
      <c r="I61" s="112">
        <f t="shared" si="6"/>
        <v>1</v>
      </c>
    </row>
    <row r="62" spans="2:10" x14ac:dyDescent="0.2">
      <c r="B62" s="217">
        <f>IF('ن-فرعي'!D104&gt;0,'ن-فرعي'!D104,"")</f>
        <v>22605003</v>
      </c>
      <c r="C62" s="18" t="str">
        <f>IF('ن-فرعي'!E104&gt;0,'ن-فرعي'!E104,"")</f>
        <v>مجلة الشورى</v>
      </c>
      <c r="D62" s="16">
        <f>IF('ن-فرعي'!F104&gt;0,'ن-فرعي'!F104,"")</f>
        <v>5000</v>
      </c>
      <c r="E62" s="16">
        <f>IF('ن-فرعي'!G104&gt;0,'ن-فرعي'!G104,"")</f>
        <v>5000</v>
      </c>
      <c r="F62" s="16" t="str">
        <f>IF('ن-فرعي'!H104&gt;0,'ن-فرعي'!H104,"")</f>
        <v/>
      </c>
      <c r="G62" s="16" t="str">
        <f>IF('ن-فرعي'!I104&gt;0,'ن-فرعي'!I104,"")</f>
        <v/>
      </c>
      <c r="H62" s="148">
        <f>IF('ن-فرعي'!J104&gt;0,'ن-فرعي'!J104,"")</f>
        <v>5000</v>
      </c>
      <c r="I62" s="112">
        <f t="shared" si="6"/>
        <v>1</v>
      </c>
    </row>
    <row r="63" spans="2:10" x14ac:dyDescent="0.2">
      <c r="B63" s="217">
        <f>IF('ن-فرعي'!D114&gt;0,'ن-فرعي'!D114,"")</f>
        <v>22607001</v>
      </c>
      <c r="C63" s="19" t="str">
        <f>IF('ن-فرعي'!E114&gt;0,'ن-فرعي'!E114,"")</f>
        <v>مساهمة الجامعة في موازنة مجلس الطلبة</v>
      </c>
      <c r="D63" s="225">
        <f>IF('ن-فرعي'!F114&gt;0,'ن-فرعي'!F114,"")</f>
        <v>2000</v>
      </c>
      <c r="E63" s="225">
        <f>IF('ن-فرعي'!G114&gt;0,'ن-فرعي'!G114,"")</f>
        <v>2000</v>
      </c>
      <c r="F63" s="225" t="str">
        <f>IF('ن-فرعي'!H114&gt;0,'ن-فرعي'!H114,"")</f>
        <v/>
      </c>
      <c r="G63" s="225" t="str">
        <f>IF('ن-فرعي'!I114&gt;0,'ن-فرعي'!I114,"")</f>
        <v/>
      </c>
      <c r="H63" s="148">
        <f>IF('ن-فرعي'!J114&gt;0,'ن-فرعي'!J114,"")</f>
        <v>2000</v>
      </c>
      <c r="I63" s="112">
        <f t="shared" si="6"/>
        <v>1</v>
      </c>
    </row>
    <row r="64" spans="2:10" x14ac:dyDescent="0.2">
      <c r="B64" s="217">
        <f>IF('ن-فرعي'!D117&gt;0,'ن-فرعي'!D117,"")</f>
        <v>22608001</v>
      </c>
      <c r="C64" s="19" t="str">
        <f>IF('ن-فرعي'!E117&gt;0,'ن-فرعي'!E117,"")</f>
        <v>بدلات الاعتماد العام والخاص</v>
      </c>
      <c r="D64" s="225">
        <f>IF('ن-فرعي'!F117&gt;0,'ن-فرعي'!F117,"")</f>
        <v>90000</v>
      </c>
      <c r="E64" s="225">
        <f>IF('ن-فرعي'!G117&gt;0,'ن-فرعي'!G117,"")</f>
        <v>45000</v>
      </c>
      <c r="F64" s="225">
        <f>IF('ن-فرعي'!H117&gt;0,'ن-فرعي'!H117,"")</f>
        <v>11700</v>
      </c>
      <c r="G64" s="225" t="str">
        <f>IF('ن-فرعي'!I117&gt;0,'ن-فرعي'!I117,"")</f>
        <v/>
      </c>
      <c r="H64" s="148">
        <f>IF('ن-فرعي'!J117&gt;0,'ن-فرعي'!J117,"")</f>
        <v>90000</v>
      </c>
      <c r="I64" s="112">
        <f t="shared" si="6"/>
        <v>1</v>
      </c>
    </row>
    <row r="65" spans="2:9" x14ac:dyDescent="0.2">
      <c r="B65" s="217">
        <f>IF('ن-فرعي'!D120&gt;0,'ن-فرعي'!D120,"")</f>
        <v>22609001</v>
      </c>
      <c r="C65" s="19" t="str">
        <f>IF('ن-فرعي'!E120&gt;0,'ن-فرعي'!E120,"")</f>
        <v>مساهمة الجامعة في تطوير مكتب الإرشاد الوظيفي ومتابعة الخريجين</v>
      </c>
      <c r="D65" s="225">
        <f>IF('ن-فرعي'!F120&gt;0,'ن-فرعي'!F120,"")</f>
        <v>5000</v>
      </c>
      <c r="E65" s="225">
        <f>IF('ن-فرعي'!G120&gt;0,'ن-فرعي'!G120,"")</f>
        <v>5000</v>
      </c>
      <c r="F65" s="225" t="str">
        <f>IF('ن-فرعي'!H120&gt;0,'ن-فرعي'!H120,"")</f>
        <v/>
      </c>
      <c r="G65" s="225" t="str">
        <f>IF('ن-فرعي'!I120&gt;0,'ن-فرعي'!I120,"")</f>
        <v/>
      </c>
      <c r="H65" s="148">
        <f>IF('ن-فرعي'!J120&gt;0,'ن-فرعي'!J120,"")</f>
        <v>5000</v>
      </c>
      <c r="I65" s="112">
        <f t="shared" si="6"/>
        <v>1</v>
      </c>
    </row>
    <row r="66" spans="2:9" x14ac:dyDescent="0.2">
      <c r="B66" s="484" t="str">
        <f>'ن-فرعي'!B122</f>
        <v>مجموع الفصل الرابع: دعم الصناديق والخدمات والنشاطات الطلابية</v>
      </c>
      <c r="C66" s="485"/>
      <c r="D66" s="144">
        <f t="shared" ref="D66:H66" si="7">SUM(D53:D65)</f>
        <v>308000</v>
      </c>
      <c r="E66" s="144">
        <f t="shared" si="7"/>
        <v>307800</v>
      </c>
      <c r="F66" s="144">
        <f t="shared" si="7"/>
        <v>169242.91700000002</v>
      </c>
      <c r="G66" s="144">
        <f t="shared" si="7"/>
        <v>12469.789000000001</v>
      </c>
      <c r="H66" s="144">
        <f t="shared" si="7"/>
        <v>431000</v>
      </c>
      <c r="I66" s="112">
        <f t="shared" si="6"/>
        <v>1.3993506493506493</v>
      </c>
    </row>
    <row r="67" spans="2:9" x14ac:dyDescent="0.2">
      <c r="B67" s="468" t="str">
        <f>'ن-فرعي'!B123:K123</f>
        <v>الفصل الخامس: النفقات العامة المشتركة</v>
      </c>
      <c r="C67" s="469"/>
      <c r="D67" s="469"/>
      <c r="E67" s="469"/>
      <c r="F67" s="469"/>
      <c r="G67" s="469"/>
      <c r="H67" s="469"/>
      <c r="I67" s="470"/>
    </row>
    <row r="68" spans="2:9" x14ac:dyDescent="0.2">
      <c r="B68" s="217">
        <f>IF('ن-فرعي'!D125&gt;0,'ن-فرعي'!D125,"")</f>
        <v>23601001</v>
      </c>
      <c r="C68" s="20" t="str">
        <f>IF('ن-فرعي'!E125&gt;0,'ن-فرعي'!E125,"")</f>
        <v>مياه</v>
      </c>
      <c r="D68" s="225">
        <f>IF('ن-فرعي'!F125&gt;0,'ن-فرعي'!F125,"")</f>
        <v>350000</v>
      </c>
      <c r="E68" s="225">
        <f>IF('ن-فرعي'!G125&gt;0,'ن-فرعي'!G125,"")</f>
        <v>350000</v>
      </c>
      <c r="F68" s="225">
        <f>IF('ن-فرعي'!H125&gt;0,'ن-فرعي'!H125,"")</f>
        <v>276111.33799999999</v>
      </c>
      <c r="G68" s="225" t="str">
        <f>IF('ن-فرعي'!I125&gt;0,'ن-فرعي'!I125,"")</f>
        <v/>
      </c>
      <c r="H68" s="148">
        <f>IF('ن-فرعي'!J125&gt;0,'ن-فرعي'!J125,"")</f>
        <v>200000</v>
      </c>
      <c r="I68" s="112">
        <f t="shared" ref="I68:I91" si="8">IFERROR(H68/D68,"")</f>
        <v>0.5714285714285714</v>
      </c>
    </row>
    <row r="69" spans="2:9" x14ac:dyDescent="0.2">
      <c r="B69" s="217">
        <f>IF('ن-فرعي'!D126&gt;0,'ن-فرعي'!D126,"")</f>
        <v>23601002</v>
      </c>
      <c r="C69" s="20" t="str">
        <f>IF('ن-فرعي'!E126&gt;0,'ن-فرعي'!E126,"")</f>
        <v>كهرباء</v>
      </c>
      <c r="D69" s="225">
        <f>IF('ن-فرعي'!F126&gt;0,'ن-فرعي'!F126,"")</f>
        <v>300000</v>
      </c>
      <c r="E69" s="225">
        <f>IF('ن-فرعي'!G126&gt;0,'ن-فرعي'!G126,"")</f>
        <v>200000</v>
      </c>
      <c r="F69" s="225">
        <f>IF('ن-فرعي'!H126&gt;0,'ن-فرعي'!H126,"")</f>
        <v>132905.304</v>
      </c>
      <c r="G69" s="225" t="str">
        <f>IF('ن-فرعي'!I126&gt;0,'ن-فرعي'!I126,"")</f>
        <v/>
      </c>
      <c r="H69" s="148">
        <f>IF('ن-فرعي'!J126&gt;0,'ن-فرعي'!J126,"")</f>
        <v>150000</v>
      </c>
      <c r="I69" s="112">
        <f t="shared" si="8"/>
        <v>0.5</v>
      </c>
    </row>
    <row r="70" spans="2:9" x14ac:dyDescent="0.2">
      <c r="B70" s="217">
        <f>IF('ن-فرعي'!D127&gt;0,'ن-فرعي'!D127,"")</f>
        <v>23601003</v>
      </c>
      <c r="C70" s="20" t="str">
        <f>IF('ن-فرعي'!E127&gt;0,'ن-فرعي'!E127,"")</f>
        <v>محروقات</v>
      </c>
      <c r="D70" s="225">
        <f>IF('ن-فرعي'!F127&gt;0,'ن-فرعي'!F127,"")</f>
        <v>300000</v>
      </c>
      <c r="E70" s="225">
        <f>IF('ن-فرعي'!G127&gt;0,'ن-فرعي'!G127,"")</f>
        <v>300000</v>
      </c>
      <c r="F70" s="225">
        <f>IF('ن-فرعي'!H127&gt;0,'ن-فرعي'!H127,"")</f>
        <v>120190</v>
      </c>
      <c r="G70" s="225">
        <f>IF('ن-فرعي'!I127&gt;0,'ن-فرعي'!I127,"")</f>
        <v>179810</v>
      </c>
      <c r="H70" s="148">
        <f>IF('ن-فرعي'!J127&gt;0,'ن-فرعي'!J127,"")</f>
        <v>500000</v>
      </c>
      <c r="I70" s="112">
        <f t="shared" si="8"/>
        <v>1.6666666666666667</v>
      </c>
    </row>
    <row r="71" spans="2:9" x14ac:dyDescent="0.2">
      <c r="B71" s="217">
        <f>IF('ن-فرعي'!D128&gt;0,'ن-فرعي'!D128,"")</f>
        <v>23601004</v>
      </c>
      <c r="C71" s="20" t="str">
        <f>IF('ن-فرعي'!E128&gt;0,'ن-فرعي'!E128,"")</f>
        <v>غاز</v>
      </c>
      <c r="D71" s="225">
        <f>IF('ن-فرعي'!F128&gt;0,'ن-فرعي'!F128,"")</f>
        <v>15000</v>
      </c>
      <c r="E71" s="225">
        <f>IF('ن-فرعي'!G128&gt;0,'ن-فرعي'!G128,"")</f>
        <v>15000</v>
      </c>
      <c r="F71" s="225">
        <f>IF('ن-فرعي'!H128&gt;0,'ن-فرعي'!H128,"")</f>
        <v>994.14</v>
      </c>
      <c r="G71" s="225">
        <f>IF('ن-فرعي'!I128&gt;0,'ن-فرعي'!I128,"")</f>
        <v>6152.02</v>
      </c>
      <c r="H71" s="148">
        <f>IF('ن-فرعي'!J128&gt;0,'ن-فرعي'!J128,"")</f>
        <v>15000</v>
      </c>
      <c r="I71" s="112">
        <f t="shared" si="8"/>
        <v>1</v>
      </c>
    </row>
    <row r="72" spans="2:9" x14ac:dyDescent="0.2">
      <c r="B72" s="217">
        <f>IF('ن-فرعي'!D129&gt;0,'ن-فرعي'!D129,"")</f>
        <v>23601005</v>
      </c>
      <c r="C72" s="20" t="str">
        <f>IF('ن-فرعي'!E129&gt;0,'ن-فرعي'!E129,"")</f>
        <v>نفايات</v>
      </c>
      <c r="D72" s="225">
        <f>IF('ن-فرعي'!F129&gt;0,'ن-فرعي'!F129,"")</f>
        <v>5000</v>
      </c>
      <c r="E72" s="225">
        <f>IF('ن-فرعي'!G129&gt;0,'ن-فرعي'!G129,"")</f>
        <v>5000</v>
      </c>
      <c r="F72" s="225" t="str">
        <f>IF('ن-فرعي'!H129&gt;0,'ن-فرعي'!H129,"")</f>
        <v/>
      </c>
      <c r="G72" s="225" t="str">
        <f>IF('ن-فرعي'!I129&gt;0,'ن-فرعي'!I129,"")</f>
        <v/>
      </c>
      <c r="H72" s="148">
        <f>IF('ن-فرعي'!J129&gt;0,'ن-فرعي'!J129,"")</f>
        <v>5000</v>
      </c>
      <c r="I72" s="112">
        <f t="shared" si="8"/>
        <v>1</v>
      </c>
    </row>
    <row r="73" spans="2:9" x14ac:dyDescent="0.2">
      <c r="B73" s="217">
        <f>IF('ن-فرعي'!D130&gt;0,'ن-فرعي'!D130,"")</f>
        <v>23601006</v>
      </c>
      <c r="C73" s="20" t="str">
        <f>IF('ن-فرعي'!E130&gt;0,'ن-فرعي'!E130,"")</f>
        <v>بريد</v>
      </c>
      <c r="D73" s="225">
        <f>IF('ن-فرعي'!F130&gt;0,'ن-فرعي'!F130,"")</f>
        <v>10000</v>
      </c>
      <c r="E73" s="225">
        <f>IF('ن-فرعي'!G130&gt;0,'ن-فرعي'!G130,"")</f>
        <v>12000</v>
      </c>
      <c r="F73" s="225">
        <f>IF('ن-فرعي'!H130&gt;0,'ن-فرعي'!H130,"")</f>
        <v>3279.8380000000002</v>
      </c>
      <c r="G73" s="225">
        <f>IF('ن-فرعي'!I130&gt;0,'ن-فرعي'!I130,"")</f>
        <v>5839.942</v>
      </c>
      <c r="H73" s="148">
        <f>IF('ن-فرعي'!J130&gt;0,'ن-فرعي'!J130,"")</f>
        <v>10000</v>
      </c>
      <c r="I73" s="112">
        <f t="shared" si="8"/>
        <v>1</v>
      </c>
    </row>
    <row r="74" spans="2:9" x14ac:dyDescent="0.2">
      <c r="B74" s="217">
        <f>IF('ن-فرعي'!D131&gt;0,'ن-فرعي'!D131,"")</f>
        <v>23601007</v>
      </c>
      <c r="C74" s="20" t="str">
        <f>IF('ن-فرعي'!E131&gt;0,'ن-فرعي'!E131,"")</f>
        <v>هاتف</v>
      </c>
      <c r="D74" s="225">
        <f>IF('ن-فرعي'!F131&gt;0,'ن-فرعي'!F131,"")</f>
        <v>25000</v>
      </c>
      <c r="E74" s="225">
        <f>IF('ن-فرعي'!G131&gt;0,'ن-فرعي'!G131,"")</f>
        <v>23000</v>
      </c>
      <c r="F74" s="225">
        <f>IF('ن-فرعي'!H131&gt;0,'ن-فرعي'!H131,"")</f>
        <v>14289.664000000001</v>
      </c>
      <c r="G74" s="225" t="str">
        <f>IF('ن-فرعي'!I131&gt;0,'ن-فرعي'!I131,"")</f>
        <v/>
      </c>
      <c r="H74" s="148">
        <f>IF('ن-فرعي'!J131&gt;0,'ن-فرعي'!J131,"")</f>
        <v>20000</v>
      </c>
      <c r="I74" s="112">
        <f t="shared" si="8"/>
        <v>0.8</v>
      </c>
    </row>
    <row r="75" spans="2:9" x14ac:dyDescent="0.2">
      <c r="B75" s="217">
        <f>IF('ن-فرعي'!D134&gt;0,'ن-فرعي'!D134,"")</f>
        <v>23602001</v>
      </c>
      <c r="C75" s="20" t="str">
        <f>IF('ن-فرعي'!E134&gt;0,'ن-فرعي'!E134,"")</f>
        <v>تأمين موجودات الجامعة</v>
      </c>
      <c r="D75" s="225">
        <f>IF('ن-فرعي'!F134&gt;0,'ن-فرعي'!F134,"")</f>
        <v>50000</v>
      </c>
      <c r="E75" s="225">
        <f>IF('ن-فرعي'!G134&gt;0,'ن-فرعي'!G134,"")</f>
        <v>50000</v>
      </c>
      <c r="F75" s="225" t="str">
        <f>IF('ن-فرعي'!H134&gt;0,'ن-فرعي'!H134,"")</f>
        <v/>
      </c>
      <c r="G75" s="225" t="str">
        <f>IF('ن-فرعي'!I134&gt;0,'ن-فرعي'!I134,"")</f>
        <v/>
      </c>
      <c r="H75" s="148">
        <f>IF('ن-فرعي'!J134&gt;0,'ن-فرعي'!J134,"")</f>
        <v>50000</v>
      </c>
      <c r="I75" s="112">
        <f t="shared" si="8"/>
        <v>1</v>
      </c>
    </row>
    <row r="76" spans="2:9" x14ac:dyDescent="0.2">
      <c r="B76" s="217">
        <f>IF('ن-فرعي'!D135&gt;0,'ن-فرعي'!D135,"")</f>
        <v>23602002</v>
      </c>
      <c r="C76" s="20" t="str">
        <f>IF('ن-فرعي'!E135&gt;0,'ن-فرعي'!E135,"")</f>
        <v>تأمينات اخرى متفرقة</v>
      </c>
      <c r="D76" s="225">
        <f>IF('ن-فرعي'!F135&gt;0,'ن-فرعي'!F135,"")</f>
        <v>1000</v>
      </c>
      <c r="E76" s="225">
        <f>IF('ن-فرعي'!G135&gt;0,'ن-فرعي'!G135,"")</f>
        <v>1000</v>
      </c>
      <c r="F76" s="225" t="str">
        <f>IF('ن-فرعي'!H135&gt;0,'ن-فرعي'!H135,"")</f>
        <v/>
      </c>
      <c r="G76" s="225" t="str">
        <f>IF('ن-فرعي'!I135&gt;0,'ن-فرعي'!I135,"")</f>
        <v/>
      </c>
      <c r="H76" s="148">
        <f>IF('ن-فرعي'!J135&gt;0,'ن-فرعي'!J135,"")</f>
        <v>1000</v>
      </c>
      <c r="I76" s="112">
        <f t="shared" si="8"/>
        <v>1</v>
      </c>
    </row>
    <row r="77" spans="2:9" x14ac:dyDescent="0.2">
      <c r="B77" s="217">
        <f>IF('ن-فرعي'!D136&gt;0,'ن-فرعي'!D136,"")</f>
        <v>23602003</v>
      </c>
      <c r="C77" s="20" t="str">
        <f>IF('ن-فرعي'!E136&gt;0,'ن-فرعي'!E136,"")</f>
        <v>نفقات الشحن والتخليص</v>
      </c>
      <c r="D77" s="225">
        <f>IF('ن-فرعي'!F136&gt;0,'ن-فرعي'!F136,"")</f>
        <v>1500</v>
      </c>
      <c r="E77" s="225">
        <f>IF('ن-فرعي'!G136&gt;0,'ن-فرعي'!G136,"")</f>
        <v>16500</v>
      </c>
      <c r="F77" s="225">
        <f>IF('ن-فرعي'!H136&gt;0,'ن-فرعي'!H136,"")</f>
        <v>15890.88</v>
      </c>
      <c r="G77" s="225">
        <f>IF('ن-فرعي'!I136&gt;0,'ن-فرعي'!I136,"")</f>
        <v>1.66</v>
      </c>
      <c r="H77" s="148">
        <f>IF('ن-فرعي'!J136&gt;0,'ن-فرعي'!J136,"")</f>
        <v>5000</v>
      </c>
      <c r="I77" s="112">
        <f t="shared" si="8"/>
        <v>3.3333333333333335</v>
      </c>
    </row>
    <row r="78" spans="2:9" x14ac:dyDescent="0.2">
      <c r="B78" s="217">
        <f>IF('ن-فرعي'!D139&gt;0,'ن-فرعي'!D139,"")</f>
        <v>23603001</v>
      </c>
      <c r="C78" s="20" t="str">
        <f>IF('ن-فرعي'!E139&gt;0,'ن-فرعي'!E139,"")</f>
        <v>نفقات الوفود الرسميه والضيافه والحفلات والفنادق</v>
      </c>
      <c r="D78" s="225">
        <f>IF('ن-فرعي'!F139&gt;0,'ن-فرعي'!F139,"")</f>
        <v>12000</v>
      </c>
      <c r="E78" s="225">
        <f>IF('ن-فرعي'!G139&gt;0,'ن-فرعي'!G139,"")</f>
        <v>12000</v>
      </c>
      <c r="F78" s="225">
        <f>IF('ن-فرعي'!H139&gt;0,'ن-فرعي'!H139,"")</f>
        <v>9663.0519999999997</v>
      </c>
      <c r="G78" s="225">
        <f>IF('ن-فرعي'!I139&gt;0,'ن-فرعي'!I139,"")</f>
        <v>1050</v>
      </c>
      <c r="H78" s="148">
        <f>IF('ن-فرعي'!J139&gt;0,'ن-فرعي'!J139,"")</f>
        <v>12000</v>
      </c>
      <c r="I78" s="112">
        <f t="shared" si="8"/>
        <v>1</v>
      </c>
    </row>
    <row r="79" spans="2:9" x14ac:dyDescent="0.2">
      <c r="B79" s="217">
        <f>IF('ن-فرعي'!D140&gt;0,'ن-فرعي'!D140,"")</f>
        <v>23603002</v>
      </c>
      <c r="C79" s="20" t="str">
        <f>IF('ن-فرعي'!E140&gt;0,'ن-فرعي'!E140,"")</f>
        <v>نفقات الضيافه للكليات والمعاهد والمراكز والدوائر</v>
      </c>
      <c r="D79" s="225">
        <f>IF('ن-فرعي'!F140&gt;0,'ن-فرعي'!F140,"")</f>
        <v>4800</v>
      </c>
      <c r="E79" s="225">
        <f>IF('ن-فرعي'!G140&gt;0,'ن-فرعي'!G140,"")</f>
        <v>5000</v>
      </c>
      <c r="F79" s="225">
        <f>IF('ن-فرعي'!H140&gt;0,'ن-فرعي'!H140,"")</f>
        <v>2849.56</v>
      </c>
      <c r="G79" s="225">
        <f>IF('ن-فرعي'!I140&gt;0,'ن-فرعي'!I140,"")</f>
        <v>350.15</v>
      </c>
      <c r="H79" s="148">
        <f>IF('ن-فرعي'!J140&gt;0,'ن-فرعي'!J140,"")</f>
        <v>4725</v>
      </c>
      <c r="I79" s="112">
        <f t="shared" si="8"/>
        <v>0.984375</v>
      </c>
    </row>
    <row r="80" spans="2:9" x14ac:dyDescent="0.2">
      <c r="B80" s="217">
        <f>IF('ن-فرعي'!D141&gt;0,'ن-فرعي'!D141,"")</f>
        <v>23603004</v>
      </c>
      <c r="C80" s="20" t="str">
        <f>IF('ن-فرعي'!E141&gt;0,'ن-فرعي'!E141,"")</f>
        <v>نفقات ضيافة مجلس الامناء</v>
      </c>
      <c r="D80" s="225">
        <f>IF('ن-فرعي'!F141&gt;0,'ن-فرعي'!F141,"")</f>
        <v>3000</v>
      </c>
      <c r="E80" s="225">
        <f>IF('ن-فرعي'!G141&gt;0,'ن-فرعي'!G141,"")</f>
        <v>3000</v>
      </c>
      <c r="F80" s="225">
        <f>IF('ن-فرعي'!H141&gt;0,'ن-فرعي'!H141,"")</f>
        <v>1681.2660000000001</v>
      </c>
      <c r="G80" s="225" t="str">
        <f>IF('ن-فرعي'!I141&gt;0,'ن-فرعي'!I141,"")</f>
        <v/>
      </c>
      <c r="H80" s="148">
        <f>IF('ن-فرعي'!J141&gt;0,'ن-فرعي'!J141,"")</f>
        <v>3000</v>
      </c>
      <c r="I80" s="112">
        <f t="shared" si="8"/>
        <v>1</v>
      </c>
    </row>
    <row r="81" spans="2:10" x14ac:dyDescent="0.2">
      <c r="B81" s="217">
        <f>IF('ن-فرعي'!D144&gt;0,'ن-فرعي'!D144,"")</f>
        <v>23604001</v>
      </c>
      <c r="C81" s="20" t="str">
        <f>IF('ن-فرعي'!E144&gt;0,'ن-فرعي'!E144,"")</f>
        <v>محروقات وزيوت للآليات والمركبات</v>
      </c>
      <c r="D81" s="225">
        <f>IF('ن-فرعي'!F144&gt;0,'ن-فرعي'!F144,"")</f>
        <v>50000</v>
      </c>
      <c r="E81" s="225">
        <f>IF('ن-فرعي'!G144&gt;0,'ن-فرعي'!G144,"")</f>
        <v>50000</v>
      </c>
      <c r="F81" s="225">
        <f>IF('ن-فرعي'!H144&gt;0,'ن-فرعي'!H144,"")</f>
        <v>20000</v>
      </c>
      <c r="G81" s="225">
        <f>IF('ن-فرعي'!I144&gt;0,'ن-فرعي'!I144,"")</f>
        <v>29980</v>
      </c>
      <c r="H81" s="148">
        <f>IF('ن-فرعي'!J144&gt;0,'ن-فرعي'!J144,"")</f>
        <v>70000</v>
      </c>
      <c r="I81" s="112">
        <f t="shared" si="8"/>
        <v>1.4</v>
      </c>
    </row>
    <row r="82" spans="2:10" x14ac:dyDescent="0.2">
      <c r="B82" s="217">
        <f>IF('ن-فرعي'!D145&gt;0,'ن-فرعي'!D145,"")</f>
        <v>23604003</v>
      </c>
      <c r="C82" s="20" t="str">
        <f>IF('ن-فرعي'!E145&gt;0,'ن-فرعي'!E145,"")</f>
        <v>قطع غيار وإطارات وصيانة للآليات والمركبات</v>
      </c>
      <c r="D82" s="225">
        <f>IF('ن-فرعي'!F145&gt;0,'ن-فرعي'!F145,"")</f>
        <v>25000</v>
      </c>
      <c r="E82" s="225">
        <f>IF('ن-فرعي'!G145&gt;0,'ن-فرعي'!G145,"")</f>
        <v>25000</v>
      </c>
      <c r="F82" s="225">
        <f>IF('ن-فرعي'!H145&gt;0,'ن-فرعي'!H145,"")</f>
        <v>6221.45</v>
      </c>
      <c r="G82" s="225">
        <f>IF('ن-فرعي'!I145&gt;0,'ن-فرعي'!I145,"")</f>
        <v>3455</v>
      </c>
      <c r="H82" s="148">
        <f>IF('ن-فرعي'!J145&gt;0,'ن-فرعي'!J145,"")</f>
        <v>50000</v>
      </c>
      <c r="I82" s="112">
        <f t="shared" si="8"/>
        <v>2</v>
      </c>
    </row>
    <row r="83" spans="2:10" x14ac:dyDescent="0.2">
      <c r="B83" s="217">
        <f>IF('ن-فرعي'!D146&gt;0,'ن-فرعي'!D146,"")</f>
        <v>23604004</v>
      </c>
      <c r="C83" s="19" t="str">
        <f>IF('ن-فرعي'!E146&gt;0,'ن-فرعي'!E146,"")</f>
        <v>استئجار آليات ومعدات مختلفة</v>
      </c>
      <c r="D83" s="225">
        <f>IF('ن-فرعي'!F146&gt;0,'ن-فرعي'!F146,"")</f>
        <v>2000</v>
      </c>
      <c r="E83" s="225">
        <f>IF('ن-فرعي'!G146&gt;0,'ن-فرعي'!G146,"")</f>
        <v>2000</v>
      </c>
      <c r="F83" s="225" t="str">
        <f>IF('ن-فرعي'!H146&gt;0,'ن-فرعي'!H146,"")</f>
        <v/>
      </c>
      <c r="G83" s="225">
        <f>IF('ن-فرعي'!I146&gt;0,'ن-فرعي'!I146,"")</f>
        <v>500</v>
      </c>
      <c r="H83" s="148">
        <f>IF('ن-فرعي'!J146&gt;0,'ن-فرعي'!J146,"")</f>
        <v>2000</v>
      </c>
      <c r="I83" s="112">
        <f t="shared" si="8"/>
        <v>1</v>
      </c>
    </row>
    <row r="84" spans="2:10" x14ac:dyDescent="0.2">
      <c r="B84" s="217">
        <f>IF('ن-فرعي'!D149&gt;0,'ن-فرعي'!D149,"")</f>
        <v>23605001</v>
      </c>
      <c r="C84" s="20" t="str">
        <f>IF('ن-فرعي'!E149&gt;0,'ن-فرعي'!E149,"")</f>
        <v>اعلانات</v>
      </c>
      <c r="D84" s="225">
        <f>IF('ن-فرعي'!F149&gt;0,'ن-فرعي'!F149,"")</f>
        <v>10000</v>
      </c>
      <c r="E84" s="225">
        <f>IF('ن-فرعي'!G149&gt;0,'ن-فرعي'!G149,"")</f>
        <v>10000</v>
      </c>
      <c r="F84" s="225">
        <f>IF('ن-فرعي'!H149&gt;0,'ن-فرعي'!H149,"")</f>
        <v>5830.2690000000002</v>
      </c>
      <c r="G84" s="225" t="str">
        <f>IF('ن-فرعي'!I149&gt;0,'ن-فرعي'!I149,"")</f>
        <v/>
      </c>
      <c r="H84" s="148">
        <f>IF('ن-فرعي'!J149&gt;0,'ن-فرعي'!J149,"")</f>
        <v>10000</v>
      </c>
      <c r="I84" s="112">
        <f t="shared" si="8"/>
        <v>1</v>
      </c>
    </row>
    <row r="85" spans="2:10" x14ac:dyDescent="0.2">
      <c r="B85" s="217">
        <f>IF('ن-فرعي'!D150&gt;0,'ن-فرعي'!D150,"")</f>
        <v>23605002</v>
      </c>
      <c r="C85" s="20" t="str">
        <f>IF('ن-فرعي'!E150&gt;0,'ن-فرعي'!E150,"")</f>
        <v>صحف ومجلات ومطبوعات</v>
      </c>
      <c r="D85" s="225">
        <f>IF('ن-فرعي'!F150&gt;0,'ن-فرعي'!F150,"")</f>
        <v>4000</v>
      </c>
      <c r="E85" s="225">
        <f>IF('ن-فرعي'!G150&gt;0,'ن-فرعي'!G150,"")</f>
        <v>4000</v>
      </c>
      <c r="F85" s="225">
        <f>IF('ن-فرعي'!H150&gt;0,'ن-فرعي'!H150,"")</f>
        <v>315.5</v>
      </c>
      <c r="G85" s="225" t="str">
        <f>IF('ن-فرعي'!I150&gt;0,'ن-فرعي'!I150,"")</f>
        <v/>
      </c>
      <c r="H85" s="148">
        <f>IF('ن-فرعي'!J150&gt;0,'ن-فرعي'!J150,"")</f>
        <v>1000</v>
      </c>
      <c r="I85" s="112">
        <f t="shared" si="8"/>
        <v>0.25</v>
      </c>
    </row>
    <row r="86" spans="2:10" x14ac:dyDescent="0.2">
      <c r="B86" s="217">
        <f>IF('ن-فرعي'!D153&gt;0,'ن-فرعي'!D153,"")</f>
        <v>23606001</v>
      </c>
      <c r="C86" s="20" t="str">
        <f>IF('ن-فرعي'!E153&gt;0,'ن-فرعي'!E153,"")</f>
        <v>رسوم اشتراك في خدمة الانترنت</v>
      </c>
      <c r="D86" s="225">
        <f>IF('ن-فرعي'!F153&gt;0,'ن-فرعي'!F153,"")</f>
        <v>100000</v>
      </c>
      <c r="E86" s="225">
        <f>IF('ن-فرعي'!G153&gt;0,'ن-فرعي'!G153,"")</f>
        <v>100000</v>
      </c>
      <c r="F86" s="225">
        <f>IF('ن-فرعي'!H153&gt;0,'ن-فرعي'!H153,"")</f>
        <v>24360</v>
      </c>
      <c r="G86" s="225" t="str">
        <f>IF('ن-فرعي'!I153&gt;0,'ن-فرعي'!I153,"")</f>
        <v/>
      </c>
      <c r="H86" s="148">
        <f>IF('ن-فرعي'!J153&gt;0,'ن-فرعي'!J153,"")</f>
        <v>60000</v>
      </c>
      <c r="I86" s="112">
        <f t="shared" si="8"/>
        <v>0.6</v>
      </c>
    </row>
    <row r="87" spans="2:10" x14ac:dyDescent="0.2">
      <c r="B87" s="217">
        <f>IF('ن-فرعي'!D154&gt;0,'ن-فرعي'!D154,"")</f>
        <v>23606006</v>
      </c>
      <c r="C87" s="20" t="str">
        <f>IF('ن-فرعي'!E154&gt;0,'ن-فرعي'!E154,"")</f>
        <v>رسوم اشتراكات أخرى متفرقة ومتنوعة..</v>
      </c>
      <c r="D87" s="225">
        <f>IF('ن-فرعي'!F154&gt;0,'ن-فرعي'!F154,"")</f>
        <v>3000</v>
      </c>
      <c r="E87" s="225">
        <f>IF('ن-فرعي'!G154&gt;0,'ن-فرعي'!G154,"")</f>
        <v>3000</v>
      </c>
      <c r="F87" s="225">
        <f>IF('ن-فرعي'!H154&gt;0,'ن-فرعي'!H154,"")</f>
        <v>62.1</v>
      </c>
      <c r="G87" s="225" t="str">
        <f>IF('ن-فرعي'!I154&gt;0,'ن-فرعي'!I154,"")</f>
        <v/>
      </c>
      <c r="H87" s="148">
        <f>IF('ن-فرعي'!J154&gt;0,'ن-فرعي'!J154,"")</f>
        <v>3000</v>
      </c>
      <c r="I87" s="112">
        <f t="shared" si="8"/>
        <v>1</v>
      </c>
    </row>
    <row r="88" spans="2:10" x14ac:dyDescent="0.2">
      <c r="B88" s="217">
        <f>IF('ن-فرعي'!D155&gt;0,'ن-فرعي'!D155,"")</f>
        <v>23606008</v>
      </c>
      <c r="C88" s="20" t="str">
        <f>IF('ن-فرعي'!E155&gt;0,'ن-فرعي'!E155,"")</f>
        <v>رسوم اشتراك في شبكة الجامعات الاردنية</v>
      </c>
      <c r="D88" s="225">
        <f>IF('ن-فرعي'!F155&gt;0,'ن-فرعي'!F155,"")</f>
        <v>20000</v>
      </c>
      <c r="E88" s="225">
        <f>IF('ن-فرعي'!G155&gt;0,'ن-فرعي'!G155,"")</f>
        <v>20000</v>
      </c>
      <c r="F88" s="225">
        <f>IF('ن-فرعي'!H155&gt;0,'ن-فرعي'!H155,"")</f>
        <v>15000</v>
      </c>
      <c r="G88" s="225" t="str">
        <f>IF('ن-فرعي'!I155&gt;0,'ن-فرعي'!I155,"")</f>
        <v/>
      </c>
      <c r="H88" s="148">
        <f>IF('ن-فرعي'!J155&gt;0,'ن-فرعي'!J155,"")</f>
        <v>20000</v>
      </c>
      <c r="I88" s="112">
        <f t="shared" si="8"/>
        <v>1</v>
      </c>
    </row>
    <row r="89" spans="2:10" x14ac:dyDescent="0.2">
      <c r="B89" s="217">
        <f>IF('ن-فرعي'!D158&gt;0,'ن-فرعي'!D158,"")</f>
        <v>23615001</v>
      </c>
      <c r="C89" s="20" t="str">
        <f>IF('ن-فرعي'!E158&gt;0,'ن-فرعي'!E158,"")</f>
        <v>لوازم ومشتريات ونفقات متنوعة</v>
      </c>
      <c r="D89" s="225">
        <f>IF('ن-فرعي'!F158&gt;0,'ن-فرعي'!F158,"")</f>
        <v>51000</v>
      </c>
      <c r="E89" s="225">
        <f>IF('ن-فرعي'!G158&gt;0,'ن-فرعي'!G158,"")</f>
        <v>36000</v>
      </c>
      <c r="F89" s="225">
        <f>IF('ن-فرعي'!H158&gt;0,'ن-فرعي'!H158,"")</f>
        <v>23937.411</v>
      </c>
      <c r="G89" s="225">
        <f>IF('ن-فرعي'!I158&gt;0,'ن-فرعي'!I158,"")</f>
        <v>9253.4</v>
      </c>
      <c r="H89" s="148">
        <f>IF('ن-فرعي'!J158&gt;0,'ن-فرعي'!J158,"")</f>
        <v>51000</v>
      </c>
      <c r="I89" s="112">
        <f t="shared" si="8"/>
        <v>1</v>
      </c>
    </row>
    <row r="90" spans="2:10" s="46" customFormat="1" x14ac:dyDescent="0.2">
      <c r="B90" s="217">
        <f>IF('ن-فرعي'!D159&gt;0,'ن-فرعي'!D159,"")</f>
        <v>23615003</v>
      </c>
      <c r="C90" s="65" t="str">
        <f>IF('ن-فرعي'!E159&gt;0,'ن-فرعي'!E159,"")</f>
        <v>ضريبة الدخل</v>
      </c>
      <c r="D90" s="225">
        <f>IF('ن-فرعي'!F159&gt;0,'ن-فرعي'!F159,"")</f>
        <v>100000</v>
      </c>
      <c r="E90" s="225">
        <f>IF('ن-فرعي'!G159&gt;0,'ن-فرعي'!G159,"")</f>
        <v>100000</v>
      </c>
      <c r="F90" s="225">
        <f>IF('ن-فرعي'!H159&gt;0,'ن-فرعي'!H159,"")</f>
        <v>2537.5680000000002</v>
      </c>
      <c r="G90" s="225" t="str">
        <f>IF('ن-فرعي'!I159&gt;0,'ن-فرعي'!I159,"")</f>
        <v/>
      </c>
      <c r="H90" s="148">
        <f>IF('ن-فرعي'!J159&gt;0,'ن-فرعي'!J159,"")</f>
        <v>75000</v>
      </c>
      <c r="I90" s="112">
        <f t="shared" si="8"/>
        <v>0.75</v>
      </c>
      <c r="J90" s="15"/>
    </row>
    <row r="91" spans="2:10" x14ac:dyDescent="0.2">
      <c r="B91" s="484" t="str">
        <f>'ن-فرعي'!B161</f>
        <v>مجموع الفصل الخامس: النفقات العامة المشتركة</v>
      </c>
      <c r="C91" s="485"/>
      <c r="D91" s="144">
        <f>SUM(D68:D90)</f>
        <v>1442300</v>
      </c>
      <c r="E91" s="144">
        <f t="shared" ref="E91:H91" si="9">SUM(E68:E90)</f>
        <v>1342500</v>
      </c>
      <c r="F91" s="144">
        <f t="shared" si="9"/>
        <v>676119.33999999985</v>
      </c>
      <c r="G91" s="144">
        <f t="shared" si="9"/>
        <v>236392.17199999999</v>
      </c>
      <c r="H91" s="144">
        <f t="shared" si="9"/>
        <v>1317725</v>
      </c>
      <c r="I91" s="112">
        <f t="shared" si="8"/>
        <v>0.91362753934687657</v>
      </c>
    </row>
    <row r="92" spans="2:10" x14ac:dyDescent="0.2">
      <c r="B92" s="468" t="str">
        <f>'ن-فرعي'!B162:K162</f>
        <v>الفصل السادس: المساهمات</v>
      </c>
      <c r="C92" s="469"/>
      <c r="D92" s="469"/>
      <c r="E92" s="469"/>
      <c r="F92" s="469"/>
      <c r="G92" s="469"/>
      <c r="H92" s="469"/>
      <c r="I92" s="470"/>
    </row>
    <row r="93" spans="2:10" x14ac:dyDescent="0.2">
      <c r="B93" s="217">
        <f>IF('ن-فرعي'!D164&gt;0,'ن-فرعي'!D164,"")</f>
        <v>24601001</v>
      </c>
      <c r="C93" s="20" t="str">
        <f>IF('ن-فرعي'!E164&gt;0,'ن-فرعي'!E164,"")</f>
        <v>مساهمه الجامعه في اتحاد الجامعات العربيه</v>
      </c>
      <c r="D93" s="225">
        <f>IF('ن-فرعي'!F164&gt;0,'ن-فرعي'!F164,"")</f>
        <v>3550</v>
      </c>
      <c r="E93" s="225">
        <f>IF('ن-فرعي'!G164&gt;0,'ن-فرعي'!G164,"")</f>
        <v>3550</v>
      </c>
      <c r="F93" s="225">
        <f>IF('ن-فرعي'!H164&gt;0,'ن-فرعي'!H164,"")</f>
        <v>3550</v>
      </c>
      <c r="G93" s="225" t="str">
        <f>IF('ن-فرعي'!I164&gt;0,'ن-فرعي'!I164,"")</f>
        <v/>
      </c>
      <c r="H93" s="148">
        <f>IF('ن-فرعي'!J164&gt;0,'ن-فرعي'!J164,"")</f>
        <v>3550</v>
      </c>
      <c r="I93" s="112">
        <f t="shared" ref="I93:I113" si="10">IFERROR(H93/D93,"")</f>
        <v>1</v>
      </c>
    </row>
    <row r="94" spans="2:10" x14ac:dyDescent="0.2">
      <c r="B94" s="217">
        <f>IF('ن-فرعي'!D165&gt;0,'ن-فرعي'!D165,"")</f>
        <v>24601002</v>
      </c>
      <c r="C94" s="20" t="str">
        <f>IF('ن-فرعي'!E165&gt;0,'ن-فرعي'!E165,"")</f>
        <v>مساهمه الجامعه في اتحاد الجامعات للعالم الاسلامي</v>
      </c>
      <c r="D94" s="225">
        <f>IF('ن-فرعي'!F165&gt;0,'ن-فرعي'!F165,"")</f>
        <v>2150</v>
      </c>
      <c r="E94" s="225">
        <f>IF('ن-فرعي'!G165&gt;0,'ن-فرعي'!G165,"")</f>
        <v>2150</v>
      </c>
      <c r="F94" s="225" t="str">
        <f>IF('ن-فرعي'!H165&gt;0,'ن-فرعي'!H165,"")</f>
        <v/>
      </c>
      <c r="G94" s="225" t="str">
        <f>IF('ن-فرعي'!I165&gt;0,'ن-فرعي'!I165,"")</f>
        <v/>
      </c>
      <c r="H94" s="148">
        <f>IF('ن-فرعي'!J165&gt;0,'ن-فرعي'!J165,"")</f>
        <v>2150</v>
      </c>
      <c r="I94" s="112">
        <f t="shared" si="10"/>
        <v>1</v>
      </c>
    </row>
    <row r="95" spans="2:10" x14ac:dyDescent="0.2">
      <c r="B95" s="217">
        <f>IF('ن-فرعي'!D166&gt;0,'ن-فرعي'!D166,"")</f>
        <v>24601004</v>
      </c>
      <c r="C95" s="20" t="str">
        <f>IF('ن-فرعي'!E166&gt;0,'ن-فرعي'!E166,"")</f>
        <v>مساهمةاتحادالجامعات العربية/جمعيةكليات الحاسبات والمعلومات</v>
      </c>
      <c r="D95" s="225">
        <f>IF('ن-فرعي'!F166&gt;0,'ن-فرعي'!F166,"")</f>
        <v>400</v>
      </c>
      <c r="E95" s="225">
        <f>IF('ن-فرعي'!G166&gt;0,'ن-فرعي'!G166,"")</f>
        <v>400</v>
      </c>
      <c r="F95" s="225" t="str">
        <f>IF('ن-فرعي'!H166&gt;0,'ن-فرعي'!H166,"")</f>
        <v/>
      </c>
      <c r="G95" s="225" t="str">
        <f>IF('ن-فرعي'!I166&gt;0,'ن-فرعي'!I166,"")</f>
        <v/>
      </c>
      <c r="H95" s="148">
        <f>IF('ن-فرعي'!J166&gt;0,'ن-فرعي'!J166,"")</f>
        <v>400</v>
      </c>
      <c r="I95" s="112">
        <f t="shared" si="10"/>
        <v>1</v>
      </c>
    </row>
    <row r="96" spans="2:10" x14ac:dyDescent="0.2">
      <c r="B96" s="217">
        <f>IF('ن-فرعي'!D167&gt;0,'ن-فرعي'!D167,"")</f>
        <v>24601006</v>
      </c>
      <c r="C96" s="20" t="str">
        <f>IF('ن-فرعي'!E167&gt;0,'ن-فرعي'!E167,"")</f>
        <v>مساهمة الجامعة في الاتحاد الرياضي للجامعات</v>
      </c>
      <c r="D96" s="225">
        <f>IF('ن-فرعي'!F167&gt;0,'ن-فرعي'!F167,"")</f>
        <v>7000</v>
      </c>
      <c r="E96" s="225">
        <f>IF('ن-فرعي'!G167&gt;0,'ن-فرعي'!G167,"")</f>
        <v>7000</v>
      </c>
      <c r="F96" s="225">
        <f>IF('ن-فرعي'!H167&gt;0,'ن-فرعي'!H167,"")</f>
        <v>7000</v>
      </c>
      <c r="G96" s="225" t="str">
        <f>IF('ن-فرعي'!I167&gt;0,'ن-فرعي'!I167,"")</f>
        <v/>
      </c>
      <c r="H96" s="148">
        <f>IF('ن-فرعي'!J167&gt;0,'ن-فرعي'!J167,"")</f>
        <v>7000</v>
      </c>
      <c r="I96" s="112">
        <f t="shared" si="10"/>
        <v>1</v>
      </c>
    </row>
    <row r="97" spans="2:10" x14ac:dyDescent="0.2">
      <c r="B97" s="217">
        <f>IF('ن-فرعي'!D168&gt;0,'ن-فرعي'!D168,"")</f>
        <v>24601007</v>
      </c>
      <c r="C97" s="20" t="str">
        <f>IF('ن-فرعي'!E168&gt;0,'ن-فرعي'!E168,"")</f>
        <v>المساهمة في مقر الامانة لاتحاد الجامعات العربية</v>
      </c>
      <c r="D97" s="225">
        <f>IF('ن-فرعي'!F168&gt;0,'ن-فرعي'!F168,"")</f>
        <v>10000</v>
      </c>
      <c r="E97" s="225">
        <f>IF('ن-فرعي'!G168&gt;0,'ن-فرعي'!G168,"")</f>
        <v>10000</v>
      </c>
      <c r="F97" s="225" t="str">
        <f>IF('ن-فرعي'!H168&gt;0,'ن-فرعي'!H168,"")</f>
        <v/>
      </c>
      <c r="G97" s="225" t="str">
        <f>IF('ن-فرعي'!I168&gt;0,'ن-فرعي'!I168,"")</f>
        <v/>
      </c>
      <c r="H97" s="148">
        <f>IF('ن-فرعي'!J168&gt;0,'ن-فرعي'!J168,"")</f>
        <v>10000</v>
      </c>
      <c r="I97" s="112">
        <f t="shared" si="10"/>
        <v>1</v>
      </c>
    </row>
    <row r="98" spans="2:10" x14ac:dyDescent="0.2">
      <c r="B98" s="217">
        <f>IF('ن-فرعي'!D169&gt;0,'ن-فرعي'!D169,"")</f>
        <v>24601009</v>
      </c>
      <c r="C98" s="20" t="str">
        <f>IF('ن-فرعي'!E169&gt;0,'ن-فرعي'!E169,"")</f>
        <v>جمعية كليات العلوم بالجامعات الأعضاء في اتحاد الجامعات العربية</v>
      </c>
      <c r="D98" s="225">
        <f>IF('ن-فرعي'!F169&gt;0,'ن-فرعي'!F169,"")</f>
        <v>400</v>
      </c>
      <c r="E98" s="225">
        <f>IF('ن-فرعي'!G169&gt;0,'ن-فرعي'!G169,"")</f>
        <v>400</v>
      </c>
      <c r="F98" s="225">
        <f>IF('ن-فرعي'!H169&gt;0,'ن-فرعي'!H169,"")</f>
        <v>393.63600000000002</v>
      </c>
      <c r="G98" s="225" t="str">
        <f>IF('ن-فرعي'!I169&gt;0,'ن-فرعي'!I169,"")</f>
        <v/>
      </c>
      <c r="H98" s="148">
        <f>IF('ن-فرعي'!J169&gt;0,'ن-فرعي'!J169,"")</f>
        <v>400</v>
      </c>
      <c r="I98" s="112">
        <f t="shared" si="10"/>
        <v>1</v>
      </c>
    </row>
    <row r="99" spans="2:10" s="46" customFormat="1" x14ac:dyDescent="0.2">
      <c r="B99" s="218" t="str">
        <f>IF('ن-فرعي'!D170&gt;0,'ن-فرعي'!D170,"")</f>
        <v/>
      </c>
      <c r="C99" s="64" t="str">
        <f>IF('ن-فرعي'!E170&gt;0,'ن-فرعي'!E170,"")</f>
        <v>جمعية كليات الحقوق في الجامعات العربية</v>
      </c>
      <c r="D99" s="249" t="str">
        <f>IF('ن-فرعي'!F170&gt;0,'ن-فرعي'!F170,"")</f>
        <v/>
      </c>
      <c r="E99" s="249" t="str">
        <f>IF('ن-فرعي'!G170&gt;0,'ن-فرعي'!G170,"")</f>
        <v/>
      </c>
      <c r="F99" s="249" t="str">
        <f>IF('ن-فرعي'!H170&gt;0,'ن-فرعي'!H170,"")</f>
        <v/>
      </c>
      <c r="G99" s="249" t="str">
        <f>IF('ن-فرعي'!I170&gt;0,'ن-فرعي'!I170,"")</f>
        <v/>
      </c>
      <c r="H99" s="148">
        <f>IF('ن-فرعي'!J170&gt;0,'ن-فرعي'!J170,"")</f>
        <v>400</v>
      </c>
      <c r="I99" s="112" t="str">
        <f t="shared" si="10"/>
        <v/>
      </c>
      <c r="J99" s="15"/>
    </row>
    <row r="100" spans="2:10" x14ac:dyDescent="0.2">
      <c r="B100" s="217">
        <f>IF('ن-فرعي'!D173&gt;0,'ن-فرعي'!D173,"")</f>
        <v>24602001</v>
      </c>
      <c r="C100" s="20" t="str">
        <f>IF('ن-فرعي'!E173&gt;0,'ن-فرعي'!E173,"")</f>
        <v>مساهمه الجامعه في اتحاد رابطه الجامعات الاسلاميه</v>
      </c>
      <c r="D100" s="225">
        <f>IF('ن-فرعي'!F173&gt;0,'ن-فرعي'!F173,"")</f>
        <v>3600</v>
      </c>
      <c r="E100" s="225">
        <f>IF('ن-فرعي'!G173&gt;0,'ن-فرعي'!G173,"")</f>
        <v>3600</v>
      </c>
      <c r="F100" s="225">
        <f>IF('ن-فرعي'!H173&gt;0,'ن-فرعي'!H173,"")</f>
        <v>3577.6930000000002</v>
      </c>
      <c r="G100" s="225" t="str">
        <f>IF('ن-فرعي'!I173&gt;0,'ن-فرعي'!I173,"")</f>
        <v/>
      </c>
      <c r="H100" s="148">
        <f>IF('ن-فرعي'!J173&gt;0,'ن-فرعي'!J173,"")</f>
        <v>3600</v>
      </c>
      <c r="I100" s="112">
        <f t="shared" si="10"/>
        <v>1</v>
      </c>
    </row>
    <row r="101" spans="2:10" x14ac:dyDescent="0.2">
      <c r="B101" s="217">
        <f>IF('ن-فرعي'!D174&gt;0,'ن-فرعي'!D174,"")</f>
        <v>24602002</v>
      </c>
      <c r="C101" s="20" t="str">
        <f>IF('ن-فرعي'!E174&gt;0,'ن-فرعي'!E174,"")</f>
        <v>مساهمة الجامعة في اتحاد الرابطة الدولية لرؤوساء الجامعات</v>
      </c>
      <c r="D101" s="225">
        <f>IF('ن-فرعي'!F174&gt;0,'ن-فرعي'!F174,"")</f>
        <v>2000</v>
      </c>
      <c r="E101" s="225">
        <f>IF('ن-فرعي'!G174&gt;0,'ن-فرعي'!G174,"")</f>
        <v>2000</v>
      </c>
      <c r="F101" s="225" t="str">
        <f>IF('ن-فرعي'!H174&gt;0,'ن-فرعي'!H174,"")</f>
        <v/>
      </c>
      <c r="G101" s="225" t="str">
        <f>IF('ن-فرعي'!I174&gt;0,'ن-فرعي'!I174,"")</f>
        <v/>
      </c>
      <c r="H101" s="148">
        <f>IF('ن-فرعي'!J174&gt;0,'ن-فرعي'!J174,"")</f>
        <v>2000</v>
      </c>
      <c r="I101" s="112">
        <f t="shared" si="10"/>
        <v>1</v>
      </c>
    </row>
    <row r="102" spans="2:10" x14ac:dyDescent="0.2">
      <c r="B102" s="217">
        <f>IF('ن-فرعي'!D175&gt;0,'ن-فرعي'!D175,"")</f>
        <v>24602004</v>
      </c>
      <c r="C102" s="20" t="str">
        <f>IF('ن-فرعي'!E175&gt;0,'ن-فرعي'!E175,"")</f>
        <v>مساهمة الجامعة في هيئة اعتماد مؤسسات التعليم العالي</v>
      </c>
      <c r="D102" s="225">
        <f>IF('ن-فرعي'!F175&gt;0,'ن-فرعي'!F175,"")</f>
        <v>15000</v>
      </c>
      <c r="E102" s="225">
        <f>IF('ن-فرعي'!G175&gt;0,'ن-فرعي'!G175,"")</f>
        <v>15000</v>
      </c>
      <c r="F102" s="225">
        <f>IF('ن-فرعي'!H175&gt;0,'ن-فرعي'!H175,"")</f>
        <v>15000</v>
      </c>
      <c r="G102" s="225" t="str">
        <f>IF('ن-فرعي'!I175&gt;0,'ن-فرعي'!I175,"")</f>
        <v/>
      </c>
      <c r="H102" s="148">
        <f>IF('ن-فرعي'!J175&gt;0,'ن-فرعي'!J175,"")</f>
        <v>15000</v>
      </c>
      <c r="I102" s="112">
        <f t="shared" si="10"/>
        <v>1</v>
      </c>
    </row>
    <row r="103" spans="2:10" x14ac:dyDescent="0.2">
      <c r="B103" s="217">
        <f>IF('ن-فرعي'!D176&gt;0,'ن-فرعي'!D176,"")</f>
        <v>24602007</v>
      </c>
      <c r="C103" s="20" t="str">
        <f>IF('ن-فرعي'!E176&gt;0,'ن-فرعي'!E176,"")</f>
        <v>المجلس العربي لتدريب طلاب الجامعات العربية</v>
      </c>
      <c r="D103" s="225">
        <f>IF('ن-فرعي'!F176&gt;0,'ن-فرعي'!F176,"")</f>
        <v>500</v>
      </c>
      <c r="E103" s="225">
        <f>IF('ن-فرعي'!G176&gt;0,'ن-فرعي'!G176,"")</f>
        <v>500</v>
      </c>
      <c r="F103" s="225" t="str">
        <f>IF('ن-فرعي'!H176&gt;0,'ن-فرعي'!H176,"")</f>
        <v/>
      </c>
      <c r="G103" s="225" t="str">
        <f>IF('ن-فرعي'!I176&gt;0,'ن-فرعي'!I176,"")</f>
        <v/>
      </c>
      <c r="H103" s="148">
        <f>IF('ن-فرعي'!J176&gt;0,'ن-فرعي'!J176,"")</f>
        <v>500</v>
      </c>
      <c r="I103" s="112">
        <f t="shared" si="10"/>
        <v>1</v>
      </c>
    </row>
    <row r="104" spans="2:10" x14ac:dyDescent="0.2">
      <c r="B104" s="217">
        <f>IF('ن-فرعي'!D179&gt;0,'ن-فرعي'!D179,"")</f>
        <v>24605003</v>
      </c>
      <c r="C104" s="20" t="str">
        <f>IF('ن-فرعي'!E179&gt;0,'ن-فرعي'!E179,"")</f>
        <v>مساهمات اخرى</v>
      </c>
      <c r="D104" s="225">
        <f>IF('ن-فرعي'!F179&gt;0,'ن-فرعي'!F179,"")</f>
        <v>5000</v>
      </c>
      <c r="E104" s="225">
        <f>IF('ن-فرعي'!G179&gt;0,'ن-فرعي'!G179,"")</f>
        <v>5000</v>
      </c>
      <c r="F104" s="225" t="str">
        <f>IF('ن-فرعي'!H179&gt;0,'ن-فرعي'!H179,"")</f>
        <v/>
      </c>
      <c r="G104" s="225" t="str">
        <f>IF('ن-فرعي'!I179&gt;0,'ن-فرعي'!I179,"")</f>
        <v/>
      </c>
      <c r="H104" s="148">
        <f>IF('ن-فرعي'!J179&gt;0,'ن-فرعي'!J179,"")</f>
        <v>5000</v>
      </c>
      <c r="I104" s="112">
        <f t="shared" si="10"/>
        <v>1</v>
      </c>
    </row>
    <row r="105" spans="2:10" x14ac:dyDescent="0.2">
      <c r="B105" s="217">
        <f>IF('ن-فرعي'!D180&gt;0,'ن-فرعي'!D180,"")</f>
        <v>24605007</v>
      </c>
      <c r="C105" s="20" t="str">
        <f>IF('ن-فرعي'!E180&gt;0,'ن-فرعي'!E180,"")</f>
        <v>مساهمة الجامعة في مجلس التمريض الاردني</v>
      </c>
      <c r="D105" s="225">
        <f>IF('ن-فرعي'!F180&gt;0,'ن-فرعي'!F180,"")</f>
        <v>10000</v>
      </c>
      <c r="E105" s="225">
        <f>IF('ن-فرعي'!G180&gt;0,'ن-فرعي'!G180,"")</f>
        <v>10000</v>
      </c>
      <c r="F105" s="225">
        <f>IF('ن-فرعي'!H180&gt;0,'ن-فرعي'!H180,"")</f>
        <v>10000</v>
      </c>
      <c r="G105" s="225" t="str">
        <f>IF('ن-فرعي'!I180&gt;0,'ن-فرعي'!I180,"")</f>
        <v/>
      </c>
      <c r="H105" s="148">
        <f>IF('ن-فرعي'!J180&gt;0,'ن-فرعي'!J180,"")</f>
        <v>10000</v>
      </c>
      <c r="I105" s="112">
        <f t="shared" si="10"/>
        <v>1</v>
      </c>
    </row>
    <row r="106" spans="2:10" x14ac:dyDescent="0.2">
      <c r="B106" s="217">
        <f>IF('ن-فرعي'!D181&gt;0,'ن-فرعي'!D181,"")</f>
        <v>24605009</v>
      </c>
      <c r="C106" s="20" t="str">
        <f>IF('ن-فرعي'!E181&gt;0,'ن-فرعي'!E181,"")</f>
        <v>المساهمة في مركز التميز للخدمات المكتبية الجامعية الرسمية</v>
      </c>
      <c r="D106" s="225">
        <f>IF('ن-فرعي'!F181&gt;0,'ن-فرعي'!F181,"")</f>
        <v>25000</v>
      </c>
      <c r="E106" s="225">
        <f>IF('ن-فرعي'!G181&gt;0,'ن-فرعي'!G181,"")</f>
        <v>25000</v>
      </c>
      <c r="F106" s="225">
        <f>IF('ن-فرعي'!H181&gt;0,'ن-فرعي'!H181,"")</f>
        <v>25000</v>
      </c>
      <c r="G106" s="225" t="str">
        <f>IF('ن-فرعي'!I181&gt;0,'ن-فرعي'!I181,"")</f>
        <v/>
      </c>
      <c r="H106" s="148">
        <f>IF('ن-فرعي'!J181&gt;0,'ن-فرعي'!J181,"")</f>
        <v>25000</v>
      </c>
      <c r="I106" s="112">
        <f t="shared" si="10"/>
        <v>1</v>
      </c>
    </row>
    <row r="107" spans="2:10" x14ac:dyDescent="0.2">
      <c r="B107" s="217">
        <f>IF('ن-فرعي'!D182&gt;0,'ن-فرعي'!D182,"")</f>
        <v>24605010</v>
      </c>
      <c r="C107" s="20" t="str">
        <f>IF('ن-فرعي'!E182&gt;0,'ن-فرعي'!E182,"")</f>
        <v>المساهمة في دعم نادي العاملين في جامعة آل البيت</v>
      </c>
      <c r="D107" s="225">
        <f>IF('ن-فرعي'!F182&gt;0,'ن-فرعي'!F182,"")</f>
        <v>1500</v>
      </c>
      <c r="E107" s="225">
        <f>IF('ن-فرعي'!G182&gt;0,'ن-فرعي'!G182,"")</f>
        <v>1500</v>
      </c>
      <c r="F107" s="225">
        <f>IF('ن-فرعي'!H182&gt;0,'ن-فرعي'!H182,"")</f>
        <v>1500</v>
      </c>
      <c r="G107" s="225" t="str">
        <f>IF('ن-فرعي'!I182&gt;0,'ن-فرعي'!I182,"")</f>
        <v/>
      </c>
      <c r="H107" s="148">
        <f>IF('ن-فرعي'!J182&gt;0,'ن-فرعي'!J182,"")</f>
        <v>1500</v>
      </c>
      <c r="I107" s="112">
        <f t="shared" si="10"/>
        <v>1</v>
      </c>
    </row>
    <row r="108" spans="2:10" x14ac:dyDescent="0.2">
      <c r="B108" s="217">
        <f>IF('ن-فرعي'!D183&gt;0,'ن-فرعي'!D183,"")</f>
        <v>24605016</v>
      </c>
      <c r="C108" s="20" t="str">
        <f>IF('ن-فرعي'!E183&gt;0,'ن-فرعي'!E183,"")</f>
        <v>المساهمة في منتدى الفكر العربي</v>
      </c>
      <c r="D108" s="225">
        <f>IF('ن-فرعي'!F183&gt;0,'ن-فرعي'!F183,"")</f>
        <v>2000</v>
      </c>
      <c r="E108" s="225">
        <f>IF('ن-فرعي'!G183&gt;0,'ن-فرعي'!G183,"")</f>
        <v>2000</v>
      </c>
      <c r="F108" s="225" t="str">
        <f>IF('ن-فرعي'!H183&gt;0,'ن-فرعي'!H183,"")</f>
        <v/>
      </c>
      <c r="G108" s="225" t="str">
        <f>IF('ن-فرعي'!I183&gt;0,'ن-فرعي'!I183,"")</f>
        <v/>
      </c>
      <c r="H108" s="148">
        <f>IF('ن-فرعي'!J183&gt;0,'ن-فرعي'!J183,"")</f>
        <v>2000</v>
      </c>
      <c r="I108" s="112">
        <f t="shared" si="10"/>
        <v>1</v>
      </c>
    </row>
    <row r="109" spans="2:10" x14ac:dyDescent="0.2">
      <c r="B109" s="217">
        <f>IF('ن-فرعي'!D184&gt;0,'ن-فرعي'!D184,"")</f>
        <v>24605017</v>
      </c>
      <c r="C109" s="20" t="str">
        <f>IF('ن-فرعي'!E184&gt;0,'ن-فرعي'!E184,"")</f>
        <v>المساهمة في الجمعية العلمية لكليات التمريض العربية</v>
      </c>
      <c r="D109" s="225">
        <f>IF('ن-فرعي'!F184&gt;0,'ن-فرعي'!F184,"")</f>
        <v>500</v>
      </c>
      <c r="E109" s="225">
        <f>IF('ن-فرعي'!G184&gt;0,'ن-فرعي'!G184,"")</f>
        <v>500</v>
      </c>
      <c r="F109" s="225">
        <f>IF('ن-فرعي'!H184&gt;0,'ن-فرعي'!H184,"")</f>
        <v>354</v>
      </c>
      <c r="G109" s="225" t="str">
        <f>IF('ن-فرعي'!I184&gt;0,'ن-فرعي'!I184,"")</f>
        <v/>
      </c>
      <c r="H109" s="148">
        <f>IF('ن-فرعي'!J184&gt;0,'ن-فرعي'!J184,"")</f>
        <v>500</v>
      </c>
      <c r="I109" s="112">
        <f t="shared" si="10"/>
        <v>1</v>
      </c>
    </row>
    <row r="110" spans="2:10" x14ac:dyDescent="0.2">
      <c r="B110" s="217">
        <f>IF('ن-فرعي'!D185&gt;0,'ن-فرعي'!D185,"")</f>
        <v>24605020</v>
      </c>
      <c r="C110" s="20" t="str">
        <f>IF('ن-فرعي'!E185&gt;0,'ن-فرعي'!E185,"")</f>
        <v>مساهمة الجامعة في المجلس الصحي العالي</v>
      </c>
      <c r="D110" s="225">
        <f>IF('ن-فرعي'!F185&gt;0,'ن-فرعي'!F185,"")</f>
        <v>5000</v>
      </c>
      <c r="E110" s="225">
        <f>IF('ن-فرعي'!G185&gt;0,'ن-فرعي'!G185,"")</f>
        <v>5000</v>
      </c>
      <c r="F110" s="225">
        <f>IF('ن-فرعي'!H185&gt;0,'ن-فرعي'!H185,"")</f>
        <v>5000</v>
      </c>
      <c r="G110" s="225" t="str">
        <f>IF('ن-فرعي'!I185&gt;0,'ن-فرعي'!I185,"")</f>
        <v/>
      </c>
      <c r="H110" s="148">
        <f>IF('ن-فرعي'!J185&gt;0,'ن-فرعي'!J185,"")</f>
        <v>5000</v>
      </c>
      <c r="I110" s="112">
        <f t="shared" si="10"/>
        <v>1</v>
      </c>
    </row>
    <row r="111" spans="2:10" x14ac:dyDescent="0.2">
      <c r="B111" s="217">
        <f>IF('ن-فرعي'!D186&gt;0,'ن-فرعي'!D186,"")</f>
        <v>24605021</v>
      </c>
      <c r="C111" s="20" t="str">
        <f>IF('ن-فرعي'!E186&gt;0,'ن-فرعي'!E186,"")</f>
        <v>برنامج عدالة للمعلومات القانونية</v>
      </c>
      <c r="D111" s="225">
        <f>IF('ن-فرعي'!F186&gt;0,'ن-فرعي'!F186,"")</f>
        <v>250</v>
      </c>
      <c r="E111" s="225">
        <f>IF('ن-فرعي'!G186&gt;0,'ن-فرعي'!G186,"")</f>
        <v>250</v>
      </c>
      <c r="F111" s="225" t="str">
        <f>IF('ن-فرعي'!H186&gt;0,'ن-فرعي'!H186,"")</f>
        <v/>
      </c>
      <c r="G111" s="225" t="str">
        <f>IF('ن-فرعي'!I186&gt;0,'ن-فرعي'!I186,"")</f>
        <v/>
      </c>
      <c r="H111" s="148">
        <f>IF('ن-فرعي'!J186&gt;0,'ن-فرعي'!J186,"")</f>
        <v>250</v>
      </c>
      <c r="I111" s="112">
        <f t="shared" si="10"/>
        <v>1</v>
      </c>
    </row>
    <row r="112" spans="2:10" x14ac:dyDescent="0.2">
      <c r="B112" s="217">
        <f>IF('ن-فرعي'!D187&gt;0,'ن-فرعي'!D187,"")</f>
        <v>24605022</v>
      </c>
      <c r="C112" s="20" t="str">
        <f>IF('ن-فرعي'!E187&gt;0,'ن-فرعي'!E187,"")</f>
        <v>الجمعية الاردنية للبحث العلمي</v>
      </c>
      <c r="D112" s="225">
        <f>IF('ن-فرعي'!F187&gt;0,'ن-فرعي'!F187,"")</f>
        <v>250</v>
      </c>
      <c r="E112" s="225">
        <f>IF('ن-فرعي'!G187&gt;0,'ن-فرعي'!G187,"")</f>
        <v>250</v>
      </c>
      <c r="F112" s="225">
        <f>IF('ن-فرعي'!H187&gt;0,'ن-فرعي'!H187,"")</f>
        <v>250</v>
      </c>
      <c r="G112" s="225" t="str">
        <f>IF('ن-فرعي'!I187&gt;0,'ن-فرعي'!I187,"")</f>
        <v/>
      </c>
      <c r="H112" s="148">
        <f>IF('ن-فرعي'!J187&gt;0,'ن-فرعي'!J187,"")</f>
        <v>250</v>
      </c>
      <c r="I112" s="112">
        <f t="shared" si="10"/>
        <v>1</v>
      </c>
    </row>
    <row r="113" spans="2:9" x14ac:dyDescent="0.2">
      <c r="B113" s="484" t="str">
        <f>'ن-فرعي'!B189</f>
        <v>مجموع الفصل السادس: المساهمات</v>
      </c>
      <c r="C113" s="485"/>
      <c r="D113" s="144">
        <f>SUM(D93:D112)</f>
        <v>94100</v>
      </c>
      <c r="E113" s="144">
        <f>SUM(E93:E112)</f>
        <v>94100</v>
      </c>
      <c r="F113" s="144">
        <f t="shared" ref="F113:H113" si="11">SUM(F93:F112)</f>
        <v>71625.328999999998</v>
      </c>
      <c r="G113" s="144">
        <f t="shared" si="11"/>
        <v>0</v>
      </c>
      <c r="H113" s="144">
        <f t="shared" si="11"/>
        <v>94500</v>
      </c>
      <c r="I113" s="112">
        <f t="shared" si="10"/>
        <v>1.0042507970244421</v>
      </c>
    </row>
    <row r="114" spans="2:9" x14ac:dyDescent="0.2">
      <c r="B114" s="468" t="str">
        <f>'ن-فرعي'!B190:K190</f>
        <v>الفصل السابع: نفقات التزامات النفقات المتكررة المدورة من سنوات سابقة</v>
      </c>
      <c r="C114" s="469"/>
      <c r="D114" s="469"/>
      <c r="E114" s="469"/>
      <c r="F114" s="469"/>
      <c r="G114" s="469"/>
      <c r="H114" s="469"/>
      <c r="I114" s="470"/>
    </row>
    <row r="115" spans="2:9" x14ac:dyDescent="0.2">
      <c r="B115" s="217">
        <f>IF('ن-فرعي'!D192&gt;0,'ن-فرعي'!D192,"")</f>
        <v>24701001</v>
      </c>
      <c r="C115" s="20" t="str">
        <f>IF('ن-فرعي'!E192&gt;0,'ن-فرعي'!E192,"")</f>
        <v>التزامات نفقات متكررة مدورة / حجوزات من سنوات سابقة</v>
      </c>
      <c r="D115" s="225">
        <f>IF('ن-فرعي'!F192&gt;0,'ن-فرعي'!F192,"")</f>
        <v>950000</v>
      </c>
      <c r="E115" s="225">
        <f>IF('ن-فرعي'!G192&gt;0,'ن-فرعي'!G192,"")</f>
        <v>950000</v>
      </c>
      <c r="F115" s="225">
        <f>IF('ن-فرعي'!H192&gt;0,'ن-فرعي'!H192,"")</f>
        <v>449687.85499999998</v>
      </c>
      <c r="G115" s="225">
        <f>IF('ن-فرعي'!I192&gt;0,'ن-فرعي'!I192,"")</f>
        <v>493049.337</v>
      </c>
      <c r="H115" s="148">
        <f>IF('ن-فرعي'!J192&gt;0,'ن-فرعي'!J192,"")</f>
        <v>1150000</v>
      </c>
      <c r="I115" s="112">
        <f>IFERROR(H115/D115,"")</f>
        <v>1.2105263157894737</v>
      </c>
    </row>
    <row r="116" spans="2:9" x14ac:dyDescent="0.2">
      <c r="B116" s="484" t="str">
        <f>'ن-فرعي'!B194</f>
        <v>مجموع الفصل السابع: نفقات التزامات النفقات المتكررة المدورة من سنوات سابقة</v>
      </c>
      <c r="C116" s="485"/>
      <c r="D116" s="144">
        <f>SUM(D115)</f>
        <v>950000</v>
      </c>
      <c r="E116" s="144">
        <f t="shared" ref="E116:H116" si="12">SUM(E115)</f>
        <v>950000</v>
      </c>
      <c r="F116" s="144">
        <f t="shared" si="12"/>
        <v>449687.85499999998</v>
      </c>
      <c r="G116" s="144">
        <f t="shared" si="12"/>
        <v>493049.337</v>
      </c>
      <c r="H116" s="144">
        <f t="shared" si="12"/>
        <v>1150000</v>
      </c>
      <c r="I116" s="112">
        <f>IFERROR(H116/D116,"")</f>
        <v>1.2105263157894737</v>
      </c>
    </row>
    <row r="117" spans="2:9" x14ac:dyDescent="0.2">
      <c r="B117" s="468" t="str">
        <f>'ن-فرعي'!B195:K195</f>
        <v>الفصل التاسع: الفوائد والعمولات المصرفية</v>
      </c>
      <c r="C117" s="469"/>
      <c r="D117" s="469"/>
      <c r="E117" s="469"/>
      <c r="F117" s="469"/>
      <c r="G117" s="469"/>
      <c r="H117" s="469"/>
      <c r="I117" s="470"/>
    </row>
    <row r="118" spans="2:9" x14ac:dyDescent="0.2">
      <c r="B118" s="217">
        <f>IF('ن-فرعي'!D197&gt;0,'ن-فرعي'!D197,"")</f>
        <v>24903001</v>
      </c>
      <c r="C118" s="20" t="str">
        <f>IF('ن-فرعي'!E197&gt;0,'ن-فرعي'!E197,"")</f>
        <v>فوائد وعمولات مصرفية (مدينة)</v>
      </c>
      <c r="D118" s="225">
        <f>IF('ن-فرعي'!F197&gt;0,'ن-فرعي'!F197,"")</f>
        <v>450000</v>
      </c>
      <c r="E118" s="225">
        <f>IF('ن-فرعي'!G197&gt;0,'ن-فرعي'!G197,"")</f>
        <v>645000</v>
      </c>
      <c r="F118" s="225">
        <f>IF('ن-فرعي'!H197&gt;0,'ن-فرعي'!H197,"")</f>
        <v>640844.58400000003</v>
      </c>
      <c r="G118" s="225" t="str">
        <f>IF('ن-فرعي'!I197&gt;0,'ن-فرعي'!I197,"")</f>
        <v/>
      </c>
      <c r="H118" s="148">
        <f>IF('ن-فرعي'!J197&gt;0,'ن-فرعي'!J197,"")</f>
        <v>800000</v>
      </c>
      <c r="I118" s="112">
        <f>IFERROR(H118/D118,"")</f>
        <v>1.7777777777777777</v>
      </c>
    </row>
    <row r="119" spans="2:9" x14ac:dyDescent="0.2">
      <c r="B119" s="484" t="str">
        <f>'ن-فرعي'!B199</f>
        <v>مجموع الفصل التاسع: الفوائد والعمولات المصرفية</v>
      </c>
      <c r="C119" s="485"/>
      <c r="D119" s="144">
        <f>SUM(D118)</f>
        <v>450000</v>
      </c>
      <c r="E119" s="144">
        <f t="shared" ref="E119:H119" si="13">SUM(E118)</f>
        <v>645000</v>
      </c>
      <c r="F119" s="144">
        <f t="shared" si="13"/>
        <v>640844.58400000003</v>
      </c>
      <c r="G119" s="144">
        <f t="shared" si="13"/>
        <v>0</v>
      </c>
      <c r="H119" s="144">
        <f t="shared" si="13"/>
        <v>800000</v>
      </c>
      <c r="I119" s="112">
        <f>IFERROR(H119/D119,"")</f>
        <v>1.7777777777777777</v>
      </c>
    </row>
    <row r="120" spans="2:9" x14ac:dyDescent="0.2">
      <c r="B120" s="468" t="str">
        <f>'ن-فرعي'!B200:K200</f>
        <v>الفصل العاشر: تسديد فوائد القروض</v>
      </c>
      <c r="C120" s="469"/>
      <c r="D120" s="469"/>
      <c r="E120" s="469"/>
      <c r="F120" s="469"/>
      <c r="G120" s="469"/>
      <c r="H120" s="469"/>
      <c r="I120" s="470"/>
    </row>
    <row r="121" spans="2:9" x14ac:dyDescent="0.2">
      <c r="B121" s="217">
        <f>IF('ن-فرعي'!D202&gt;0,'ن-فرعي'!D202,"")</f>
        <v>25002002</v>
      </c>
      <c r="C121" s="20" t="str">
        <f>IF('ن-فرعي'!E202&gt;0,'ن-فرعي'!E202,"")</f>
        <v>تسديد فوائد قرض صندوق الادخار/جامعة ال البيت</v>
      </c>
      <c r="D121" s="225">
        <f>IF('ن-فرعي'!F202&gt;0,'ن-فرعي'!F202,"")</f>
        <v>68000</v>
      </c>
      <c r="E121" s="225">
        <f>IF('ن-فرعي'!G202&gt;0,'ن-فرعي'!G202,"")</f>
        <v>68000</v>
      </c>
      <c r="F121" s="225" t="str">
        <f>IF('ن-فرعي'!H202&gt;0,'ن-فرعي'!H202,"")</f>
        <v/>
      </c>
      <c r="G121" s="225" t="str">
        <f>IF('ن-فرعي'!I202&gt;0,'ن-فرعي'!I202,"")</f>
        <v/>
      </c>
      <c r="H121" s="148">
        <f>IF('ن-فرعي'!J202&gt;0,'ن-فرعي'!J202,"")</f>
        <v>100000</v>
      </c>
      <c r="I121" s="112">
        <f>IFERROR(H121/D121,"")</f>
        <v>1.4705882352941178</v>
      </c>
    </row>
    <row r="122" spans="2:9" x14ac:dyDescent="0.2">
      <c r="B122" s="484" t="str">
        <f>'ن-فرعي'!B204</f>
        <v>مجموع الفصل العاشر: تسديد فوائد القروض</v>
      </c>
      <c r="C122" s="485"/>
      <c r="D122" s="144">
        <f>SUM(D121:D121)</f>
        <v>68000</v>
      </c>
      <c r="E122" s="144">
        <f>SUM(E121:E121)</f>
        <v>68000</v>
      </c>
      <c r="F122" s="144">
        <f>SUM(F121:F121)</f>
        <v>0</v>
      </c>
      <c r="G122" s="144">
        <f>SUM(G121:G121)</f>
        <v>0</v>
      </c>
      <c r="H122" s="144">
        <f>SUM(H121:H121)</f>
        <v>100000</v>
      </c>
      <c r="I122" s="112">
        <f>IFERROR(H122/D122,"")</f>
        <v>1.4705882352941178</v>
      </c>
    </row>
    <row r="123" spans="2:9" x14ac:dyDescent="0.2">
      <c r="B123" s="482" t="str">
        <f>'ن-فرعي'!B205</f>
        <v>مجموع الباب الأول: النفقات المتكررة</v>
      </c>
      <c r="C123" s="483"/>
      <c r="D123" s="138">
        <f>D24+D31+D51+D66+D91+D113+D116+D119+D122</f>
        <v>30240863</v>
      </c>
      <c r="E123" s="138">
        <f>E24+E31+E51+E66+E91+E113+E116+E119+E122</f>
        <v>31022863</v>
      </c>
      <c r="F123" s="138">
        <f>F24+F31+F51+F66+F91+F113+F116+F119+F122</f>
        <v>28171808.677999999</v>
      </c>
      <c r="G123" s="138">
        <f>G24+G31+G51+G66+G91+G113+G116+G119+G122</f>
        <v>1018108.5660000001</v>
      </c>
      <c r="H123" s="138">
        <f>H24+H31+H51+H66+H91+H113+H116+H119+H122</f>
        <v>31092000</v>
      </c>
      <c r="I123" s="112">
        <f>IFERROR(H123/D123,"")</f>
        <v>1.0281452615952131</v>
      </c>
    </row>
    <row r="124" spans="2:9" ht="14.25" customHeight="1" x14ac:dyDescent="0.2">
      <c r="B124" s="486" t="str">
        <f>'ن-فرعي'!B206:K206</f>
        <v xml:space="preserve">الباب الثاني: نفقات البحث العلمي </v>
      </c>
      <c r="C124" s="487"/>
      <c r="D124" s="487"/>
      <c r="E124" s="487"/>
      <c r="F124" s="487"/>
      <c r="G124" s="487"/>
      <c r="H124" s="487"/>
      <c r="I124" s="488"/>
    </row>
    <row r="125" spans="2:9" x14ac:dyDescent="0.2">
      <c r="B125" s="468" t="str">
        <f>'ن-فرعي'!B207:K207</f>
        <v>الفصل الأول: دعم البحث العلمي ودعم النشر ومكافآت تقييم الأبحات ومراقبة إعداد الرسائل العلمية</v>
      </c>
      <c r="C125" s="469"/>
      <c r="D125" s="469"/>
      <c r="E125" s="469"/>
      <c r="F125" s="469"/>
      <c r="G125" s="469"/>
      <c r="H125" s="469"/>
      <c r="I125" s="470"/>
    </row>
    <row r="126" spans="2:9" x14ac:dyDescent="0.2">
      <c r="B126" s="217">
        <f>IF('ن-فرعي'!D209&gt;0,'ن-فرعي'!D209,"")</f>
        <v>25101001</v>
      </c>
      <c r="C126" s="20" t="str">
        <f>IF('ن-فرعي'!E209&gt;0,'ن-فرعي'!E209,"")</f>
        <v>دعم البحوث العلمية</v>
      </c>
      <c r="D126" s="225">
        <f>IF('ن-فرعي'!F209&gt;0,'ن-فرعي'!F209,"")</f>
        <v>40000</v>
      </c>
      <c r="E126" s="225">
        <f>IF('ن-فرعي'!G209&gt;0,'ن-فرعي'!G209,"")</f>
        <v>500</v>
      </c>
      <c r="F126" s="225" t="str">
        <f>IF('ن-فرعي'!H209&gt;0,'ن-فرعي'!H209,"")</f>
        <v/>
      </c>
      <c r="G126" s="225" t="str">
        <f>IF('ن-فرعي'!I209&gt;0,'ن-فرعي'!I209,"")</f>
        <v/>
      </c>
      <c r="H126" s="148">
        <f>IF('ن-فرعي'!J209&gt;0,'ن-فرعي'!J209,"")</f>
        <v>100000</v>
      </c>
      <c r="I126" s="112">
        <f t="shared" ref="I126:I133" si="14">IFERROR(H126/D126,"")</f>
        <v>2.5</v>
      </c>
    </row>
    <row r="127" spans="2:9" x14ac:dyDescent="0.2">
      <c r="B127" s="217">
        <f>IF('ن-فرعي'!D210&gt;0,'ن-فرعي'!D210,"")</f>
        <v>25101002</v>
      </c>
      <c r="C127" s="20" t="str">
        <f>IF('ن-فرعي'!E210&gt;0,'ن-فرعي'!E210,"")</f>
        <v>دعم النشر</v>
      </c>
      <c r="D127" s="225">
        <f>IF('ن-فرعي'!F210&gt;0,'ن-فرعي'!F210,"")</f>
        <v>20000</v>
      </c>
      <c r="E127" s="225">
        <f>IF('ن-فرعي'!G210&gt;0,'ن-فرعي'!G210,"")</f>
        <v>15000</v>
      </c>
      <c r="F127" s="225">
        <f>IF('ن-فرعي'!H210&gt;0,'ن-فرعي'!H210,"")</f>
        <v>14887</v>
      </c>
      <c r="G127" s="225" t="str">
        <f>IF('ن-فرعي'!I210&gt;0,'ن-فرعي'!I210,"")</f>
        <v/>
      </c>
      <c r="H127" s="148">
        <f>IF('ن-فرعي'!J210&gt;0,'ن-فرعي'!J210,"")</f>
        <v>60000</v>
      </c>
      <c r="I127" s="112">
        <f t="shared" si="14"/>
        <v>3</v>
      </c>
    </row>
    <row r="128" spans="2:9" x14ac:dyDescent="0.2">
      <c r="B128" s="217">
        <f>IF('ن-فرعي'!D211&gt;0,'ن-فرعي'!D211,"")</f>
        <v>25101007</v>
      </c>
      <c r="C128" s="20" t="str">
        <f>IF('ن-فرعي'!E211&gt;0,'ن-فرعي'!E211,"")</f>
        <v>رواتب اجازة التفرغ العلمي</v>
      </c>
      <c r="D128" s="225">
        <f>IF('ن-فرعي'!F211&gt;0,'ن-فرعي'!F211,"")</f>
        <v>400000</v>
      </c>
      <c r="E128" s="225">
        <f>IF('ن-فرعي'!G211&gt;0,'ن-فرعي'!G211,"")</f>
        <v>533000</v>
      </c>
      <c r="F128" s="225">
        <f>IF('ن-فرعي'!H211&gt;0,'ن-فرعي'!H211,"")</f>
        <v>532589.48400000005</v>
      </c>
      <c r="G128" s="225" t="str">
        <f>IF('ن-فرعي'!I211&gt;0,'ن-فرعي'!I211,"")</f>
        <v/>
      </c>
      <c r="H128" s="148">
        <f>IF('ن-فرعي'!J211&gt;0,'ن-فرعي'!J211,"")</f>
        <v>300000</v>
      </c>
      <c r="I128" s="112">
        <f t="shared" si="14"/>
        <v>0.75</v>
      </c>
    </row>
    <row r="129" spans="2:10" x14ac:dyDescent="0.2">
      <c r="B129" s="217">
        <f>IF('ن-فرعي'!D212&gt;0,'ن-فرعي'!D212,"")</f>
        <v>25101008</v>
      </c>
      <c r="C129" s="20" t="str">
        <f>IF('ن-فرعي'!E212&gt;0,'ن-فرعي'!E212,"")</f>
        <v>مناقشات الرسائل العلمية</v>
      </c>
      <c r="D129" s="225">
        <f>IF('ن-فرعي'!F212&gt;0,'ن-فرعي'!F212,"")</f>
        <v>150000</v>
      </c>
      <c r="E129" s="225">
        <f>IF('ن-فرعي'!G212&gt;0,'ن-فرعي'!G212,"")</f>
        <v>225000</v>
      </c>
      <c r="F129" s="225">
        <f>IF('ن-فرعي'!H212&gt;0,'ن-فرعي'!H212,"")</f>
        <v>191658</v>
      </c>
      <c r="G129" s="225" t="str">
        <f>IF('ن-فرعي'!I212&gt;0,'ن-فرعي'!I212,"")</f>
        <v/>
      </c>
      <c r="H129" s="148">
        <f>IF('ن-فرعي'!J212&gt;0,'ن-فرعي'!J212,"")</f>
        <v>150000</v>
      </c>
      <c r="I129" s="112">
        <f t="shared" si="14"/>
        <v>1</v>
      </c>
    </row>
    <row r="130" spans="2:10" x14ac:dyDescent="0.2">
      <c r="B130" s="217">
        <f>IF('ن-فرعي'!D213&gt;0,'ن-فرعي'!D213,"")</f>
        <v>25101009</v>
      </c>
      <c r="C130" s="19" t="str">
        <f>IF('ن-فرعي'!E213&gt;0,'ن-فرعي'!E213,"")</f>
        <v>الإشراف على الرسائل العلمية</v>
      </c>
      <c r="D130" s="225">
        <f>IF('ن-فرعي'!F213&gt;0,'ن-فرعي'!F213,"")</f>
        <v>180000</v>
      </c>
      <c r="E130" s="225">
        <f>IF('ن-فرعي'!G213&gt;0,'ن-فرعي'!G213,"")</f>
        <v>205000</v>
      </c>
      <c r="F130" s="225">
        <f>IF('ن-فرعي'!H213&gt;0,'ن-فرعي'!H213,"")</f>
        <v>203192</v>
      </c>
      <c r="G130" s="225" t="str">
        <f>IF('ن-فرعي'!I213&gt;0,'ن-فرعي'!I213,"")</f>
        <v/>
      </c>
      <c r="H130" s="148">
        <f>IF('ن-فرعي'!J213&gt;0,'ن-فرعي'!J213,"")</f>
        <v>180000</v>
      </c>
      <c r="I130" s="112">
        <f t="shared" si="14"/>
        <v>1</v>
      </c>
    </row>
    <row r="131" spans="2:10" x14ac:dyDescent="0.2">
      <c r="B131" s="217">
        <f>IF('ن-فرعي'!D214&gt;0,'ن-فرعي'!D214,"")</f>
        <v>25101011</v>
      </c>
      <c r="C131" s="20" t="str">
        <f>IF('ن-فرعي'!E214&gt;0,'ن-فرعي'!E214,"")</f>
        <v>مكافآت تقيم الابحاث للترقية</v>
      </c>
      <c r="D131" s="225">
        <f>IF('ن-فرعي'!F214&gt;0,'ن-فرعي'!F214,"")</f>
        <v>30000</v>
      </c>
      <c r="E131" s="225">
        <f>IF('ن-فرعي'!G214&gt;0,'ن-فرعي'!G214,"")</f>
        <v>30000</v>
      </c>
      <c r="F131" s="225">
        <f>IF('ن-فرعي'!H214&gt;0,'ن-فرعي'!H214,"")</f>
        <v>25562.806</v>
      </c>
      <c r="G131" s="225" t="str">
        <f>IF('ن-فرعي'!I214&gt;0,'ن-فرعي'!I214,"")</f>
        <v/>
      </c>
      <c r="H131" s="148">
        <f>IF('ن-فرعي'!J214&gt;0,'ن-فرعي'!J214,"")</f>
        <v>30000</v>
      </c>
      <c r="I131" s="112">
        <f t="shared" si="14"/>
        <v>1</v>
      </c>
    </row>
    <row r="132" spans="2:10" s="46" customFormat="1" x14ac:dyDescent="0.2">
      <c r="B132" s="218">
        <f>IF('ن-فرعي'!D217&gt;0,'ن-فرعي'!D217,"")</f>
        <v>25102001</v>
      </c>
      <c r="C132" s="62" t="str">
        <f>IF('ن-فرعي'!E217&gt;0,'ن-فرعي'!E217,"")</f>
        <v>كشف التشابه في الابحاث والرسائل والاطروحات العلمية</v>
      </c>
      <c r="D132" s="249" t="str">
        <f>IF('ن-فرعي'!F217&gt;0,'ن-فرعي'!F217,"")</f>
        <v/>
      </c>
      <c r="E132" s="249" t="str">
        <f>IF('ن-فرعي'!G217&gt;0,'ن-فرعي'!G217,"")</f>
        <v/>
      </c>
      <c r="F132" s="249" t="str">
        <f>IF('ن-فرعي'!H217&gt;0,'ن-فرعي'!H217,"")</f>
        <v/>
      </c>
      <c r="G132" s="249" t="str">
        <f>IF('ن-فرعي'!I217&gt;0,'ن-فرعي'!I217,"")</f>
        <v/>
      </c>
      <c r="H132" s="148">
        <f>IF('ن-فرعي'!J217&gt;0,'ن-فرعي'!J217,"")</f>
        <v>15000</v>
      </c>
      <c r="I132" s="112" t="str">
        <f t="shared" si="14"/>
        <v/>
      </c>
      <c r="J132" s="15"/>
    </row>
    <row r="133" spans="2:10" x14ac:dyDescent="0.2">
      <c r="B133" s="484" t="str">
        <f>'ن-فرعي'!B219</f>
        <v>مجموع الفصل الأول: دعم البحث العلمي ودعم النشر ومكافآت تقييم الأبحات ومراقبة إعداد الرسائل العلمية</v>
      </c>
      <c r="C133" s="485"/>
      <c r="D133" s="144">
        <f>SUM(D126:D132)</f>
        <v>820000</v>
      </c>
      <c r="E133" s="144">
        <f>SUM(E126:E132)</f>
        <v>1008500</v>
      </c>
      <c r="F133" s="144">
        <f t="shared" ref="F133:H133" si="15">SUM(F126:F132)</f>
        <v>967889.29</v>
      </c>
      <c r="G133" s="144">
        <f t="shared" si="15"/>
        <v>0</v>
      </c>
      <c r="H133" s="144">
        <f t="shared" si="15"/>
        <v>835000</v>
      </c>
      <c r="I133" s="112">
        <f t="shared" si="14"/>
        <v>1.0182926829268293</v>
      </c>
    </row>
    <row r="134" spans="2:10" x14ac:dyDescent="0.2">
      <c r="B134" s="468" t="str">
        <f>'ن-فرعي'!B220:K220</f>
        <v>الفصل الثاني: دعم بحوث ومنح طلبة الدراسات العليا</v>
      </c>
      <c r="C134" s="469"/>
      <c r="D134" s="469"/>
      <c r="E134" s="469"/>
      <c r="F134" s="469"/>
      <c r="G134" s="469"/>
      <c r="H134" s="469"/>
      <c r="I134" s="470"/>
    </row>
    <row r="135" spans="2:10" x14ac:dyDescent="0.2">
      <c r="B135" s="217">
        <f>IF('ن-فرعي'!D222&gt;0,'ن-فرعي'!D222,"")</f>
        <v>25201004</v>
      </c>
      <c r="C135" s="20" t="str">
        <f>IF('ن-فرعي'!E222&gt;0,'ن-فرعي'!E222,"")</f>
        <v>منح طلبة الدراسات العليا</v>
      </c>
      <c r="D135" s="225">
        <f>IF('ن-فرعي'!F222&gt;0,'ن-فرعي'!F222,"")</f>
        <v>5000</v>
      </c>
      <c r="E135" s="225" t="str">
        <f>IF('ن-فرعي'!G222&gt;0,'ن-فرعي'!G222,"")</f>
        <v/>
      </c>
      <c r="F135" s="225" t="str">
        <f>IF('ن-فرعي'!H222&gt;0,'ن-فرعي'!H222,"")</f>
        <v/>
      </c>
      <c r="G135" s="225" t="str">
        <f>IF('ن-فرعي'!I222&gt;0,'ن-فرعي'!I222,"")</f>
        <v/>
      </c>
      <c r="H135" s="148">
        <f>IF('ن-فرعي'!J222&gt;0,'ن-فرعي'!J222,"")</f>
        <v>5000</v>
      </c>
      <c r="I135" s="112">
        <f>IFERROR(H135/D135,"")</f>
        <v>1</v>
      </c>
    </row>
    <row r="136" spans="2:10" x14ac:dyDescent="0.2">
      <c r="B136" s="217">
        <f>IF('ن-فرعي'!D223&gt;0,'ن-فرعي'!D223,"")</f>
        <v>25201005</v>
      </c>
      <c r="C136" s="20" t="str">
        <f>IF('ن-فرعي'!E223&gt;0,'ن-فرعي'!E223,"")</f>
        <v>دعم البحوث العلمية لطلبة الدراسات العليا</v>
      </c>
      <c r="D136" s="225">
        <f>IF('ن-فرعي'!F223&gt;0,'ن-فرعي'!F223,"")</f>
        <v>1000</v>
      </c>
      <c r="E136" s="225">
        <f>IF('ن-فرعي'!G223&gt;0,'ن-فرعي'!G223,"")</f>
        <v>10500</v>
      </c>
      <c r="F136" s="225">
        <f>IF('ن-فرعي'!H223&gt;0,'ن-فرعي'!H223,"")</f>
        <v>2897.44</v>
      </c>
      <c r="G136" s="225">
        <f>IF('ن-فرعي'!I223&gt;0,'ن-فرعي'!I223,"")</f>
        <v>6152.56</v>
      </c>
      <c r="H136" s="148">
        <f>IF('ن-فرعي'!J223&gt;0,'ن-فرعي'!J223,"")</f>
        <v>10000</v>
      </c>
      <c r="I136" s="112">
        <f>IFERROR(H136/D136,"")</f>
        <v>10</v>
      </c>
    </row>
    <row r="137" spans="2:10" x14ac:dyDescent="0.2">
      <c r="B137" s="484" t="str">
        <f>'ن-فرعي'!B225</f>
        <v>مجموع الفصل الثاني: دعم بحوث ومنح طلبة الدراسات العليا</v>
      </c>
      <c r="C137" s="485"/>
      <c r="D137" s="144">
        <f>SUM(D135:D136)</f>
        <v>6000</v>
      </c>
      <c r="E137" s="144">
        <f>SUM(E135:E136)</f>
        <v>10500</v>
      </c>
      <c r="F137" s="144">
        <f t="shared" ref="F137:G137" si="16">SUM(F135:F136)</f>
        <v>2897.44</v>
      </c>
      <c r="G137" s="144">
        <f t="shared" si="16"/>
        <v>6152.56</v>
      </c>
      <c r="H137" s="144">
        <f>SUM(H135:H136)</f>
        <v>15000</v>
      </c>
      <c r="I137" s="112">
        <f>IFERROR(H137/D137,"")</f>
        <v>2.5</v>
      </c>
    </row>
    <row r="138" spans="2:10" x14ac:dyDescent="0.2">
      <c r="B138" s="468" t="str">
        <f>'ن-فرعي'!B226:K226</f>
        <v xml:space="preserve">الفصل الثالث: دعم المشاركة في المؤتمرات والندوات العلمية </v>
      </c>
      <c r="C138" s="469"/>
      <c r="D138" s="469"/>
      <c r="E138" s="469"/>
      <c r="F138" s="469"/>
      <c r="G138" s="469"/>
      <c r="H138" s="469"/>
      <c r="I138" s="470"/>
    </row>
    <row r="139" spans="2:10" x14ac:dyDescent="0.2">
      <c r="B139" s="217">
        <f>IF('ن-فرعي'!D228&gt;0,'ن-فرعي'!D228,"")</f>
        <v>25301001</v>
      </c>
      <c r="C139" s="20" t="str">
        <f>IF('ن-فرعي'!E228&gt;0,'ن-فرعي'!E228,"")</f>
        <v>نفقات السفر لحضور المؤتمرات العلمية والندوات</v>
      </c>
      <c r="D139" s="225">
        <f>IF('ن-فرعي'!F228&gt;0,'ن-فرعي'!F228,"")</f>
        <v>29000</v>
      </c>
      <c r="E139" s="225">
        <f>IF('ن-فرعي'!G228&gt;0,'ن-فرعي'!G228,"")</f>
        <v>3000</v>
      </c>
      <c r="F139" s="225" t="str">
        <f>IF('ن-فرعي'!H228&gt;0,'ن-فرعي'!H228,"")</f>
        <v/>
      </c>
      <c r="G139" s="225">
        <f>IF('ن-فرعي'!I228&gt;0,'ن-فرعي'!I228,"")</f>
        <v>2508</v>
      </c>
      <c r="H139" s="148">
        <f>IF('ن-فرعي'!J228&gt;0,'ن-فرعي'!J228,"")</f>
        <v>100000</v>
      </c>
      <c r="I139" s="112">
        <f>IFERROR(H139/D139,"")</f>
        <v>3.4482758620689653</v>
      </c>
    </row>
    <row r="140" spans="2:10" x14ac:dyDescent="0.2">
      <c r="B140" s="217">
        <f>IF('ن-فرعي'!D229&gt;0,'ن-فرعي'!D229,"")</f>
        <v>25301002</v>
      </c>
      <c r="C140" s="20" t="str">
        <f>IF('ن-فرعي'!E229&gt;0,'ن-فرعي'!E229,"")</f>
        <v>مؤتمرات داخلية</v>
      </c>
      <c r="D140" s="225">
        <f>IF('ن-فرعي'!F229&gt;0,'ن-فرعي'!F229,"")</f>
        <v>16000</v>
      </c>
      <c r="E140" s="225">
        <f>IF('ن-فرعي'!G229&gt;0,'ن-فرعي'!G229,"")</f>
        <v>10000</v>
      </c>
      <c r="F140" s="225" t="str">
        <f>IF('ن-فرعي'!H229&gt;0,'ن-فرعي'!H229,"")</f>
        <v/>
      </c>
      <c r="G140" s="225" t="str">
        <f>IF('ن-فرعي'!I229&gt;0,'ن-فرعي'!I229,"")</f>
        <v/>
      </c>
      <c r="H140" s="148">
        <f>IF('ن-فرعي'!J229&gt;0,'ن-فرعي'!J229,"")</f>
        <v>20000</v>
      </c>
      <c r="I140" s="112">
        <f>IFERROR(H140/D140,"")</f>
        <v>1.25</v>
      </c>
    </row>
    <row r="141" spans="2:10" x14ac:dyDescent="0.2">
      <c r="B141" s="217">
        <f>IF('ن-فرعي'!D230&gt;0,'ن-فرعي'!D230,"")</f>
        <v>25301003</v>
      </c>
      <c r="C141" s="20" t="str">
        <f>IF('ن-فرعي'!E230&gt;0,'ن-فرعي'!E230,"")</f>
        <v>رسوم اشتراك في المؤتمرات والندوات</v>
      </c>
      <c r="D141" s="225">
        <f>IF('ن-فرعي'!F230&gt;0,'ن-فرعي'!F230,"")</f>
        <v>6000</v>
      </c>
      <c r="E141" s="225" t="str">
        <f>IF('ن-فرعي'!G230&gt;0,'ن-فرعي'!G230,"")</f>
        <v/>
      </c>
      <c r="F141" s="225" t="str">
        <f>IF('ن-فرعي'!H230&gt;0,'ن-فرعي'!H230,"")</f>
        <v/>
      </c>
      <c r="G141" s="225" t="str">
        <f>IF('ن-فرعي'!I230&gt;0,'ن-فرعي'!I230,"")</f>
        <v/>
      </c>
      <c r="H141" s="148">
        <f>IF('ن-فرعي'!J230&gt;0,'ن-فرعي'!J230,"")</f>
        <v>10000</v>
      </c>
      <c r="I141" s="112">
        <f>IFERROR(H141/D141,"")</f>
        <v>1.6666666666666667</v>
      </c>
    </row>
    <row r="142" spans="2:10" s="46" customFormat="1" x14ac:dyDescent="0.2">
      <c r="B142" s="218" t="str">
        <f>IF('ن-فرعي'!D231&gt;0,'ن-فرعي'!D231,"")</f>
        <v/>
      </c>
      <c r="C142" s="64" t="str">
        <f>IF('ن-فرعي'!E231&gt;0,'ن-فرعي'!E231,"")</f>
        <v>المشاركة في المعارض التعليمية مع الجامعات الاردنية</v>
      </c>
      <c r="D142" s="249" t="str">
        <f>IF('ن-فرعي'!F231&gt;0,'ن-فرعي'!F231,"")</f>
        <v/>
      </c>
      <c r="E142" s="249" t="str">
        <f>IF('ن-فرعي'!G231&gt;0,'ن-فرعي'!G231,"")</f>
        <v/>
      </c>
      <c r="F142" s="249" t="str">
        <f>IF('ن-فرعي'!H231&gt;0,'ن-فرعي'!H231,"")</f>
        <v/>
      </c>
      <c r="G142" s="249" t="str">
        <f>IF('ن-فرعي'!I231&gt;0,'ن-فرعي'!I231,"")</f>
        <v/>
      </c>
      <c r="H142" s="148">
        <f>IF('ن-فرعي'!J231&gt;0,'ن-فرعي'!J231,"")</f>
        <v>1000</v>
      </c>
      <c r="I142" s="112" t="str">
        <f>IFERROR(H142/D142,"")</f>
        <v/>
      </c>
      <c r="J142" s="15"/>
    </row>
    <row r="143" spans="2:10" x14ac:dyDescent="0.2">
      <c r="B143" s="484" t="str">
        <f>'ن-فرعي'!B233</f>
        <v xml:space="preserve">مجموع الفصل الثالث: دعم المشاركة في المؤتمرات والندوات العلمية </v>
      </c>
      <c r="C143" s="485"/>
      <c r="D143" s="144">
        <f>SUM(D139:D142)</f>
        <v>51000</v>
      </c>
      <c r="E143" s="144">
        <f>SUM(E139:E142)</f>
        <v>13000</v>
      </c>
      <c r="F143" s="144">
        <f t="shared" ref="F143:H143" si="17">SUM(F139:F142)</f>
        <v>0</v>
      </c>
      <c r="G143" s="144">
        <f t="shared" si="17"/>
        <v>2508</v>
      </c>
      <c r="H143" s="144">
        <f t="shared" si="17"/>
        <v>131000</v>
      </c>
      <c r="I143" s="112">
        <f>IFERROR(H143/D143,"")</f>
        <v>2.5686274509803924</v>
      </c>
    </row>
    <row r="144" spans="2:10" x14ac:dyDescent="0.2">
      <c r="B144" s="468" t="str">
        <f>'ن-فرعي'!B234:K234</f>
        <v>الفصل الرابع: المجلات والمطبوعات العلمية والثقافية</v>
      </c>
      <c r="C144" s="469"/>
      <c r="D144" s="469"/>
      <c r="E144" s="469"/>
      <c r="F144" s="469"/>
      <c r="G144" s="469"/>
      <c r="H144" s="469"/>
      <c r="I144" s="470"/>
    </row>
    <row r="145" spans="2:10" x14ac:dyDescent="0.2">
      <c r="B145" s="217">
        <f>IF('ن-فرعي'!D236&gt;0,'ن-فرعي'!D236,"")</f>
        <v>25401001</v>
      </c>
      <c r="C145" s="20" t="str">
        <f>IF('ن-فرعي'!E236&gt;0,'ن-فرعي'!E236,"")</f>
        <v xml:space="preserve">مجلة المنارة </v>
      </c>
      <c r="D145" s="225">
        <f>IF('ن-فرعي'!F236&gt;0,'ن-فرعي'!F236,"")</f>
        <v>25000</v>
      </c>
      <c r="E145" s="225">
        <f>IF('ن-فرعي'!G236&gt;0,'ن-فرعي'!G236,"")</f>
        <v>20000</v>
      </c>
      <c r="F145" s="225">
        <f>IF('ن-فرعي'!H236&gt;0,'ن-فرعي'!H236,"")</f>
        <v>18650</v>
      </c>
      <c r="G145" s="225" t="str">
        <f>IF('ن-فرعي'!I236&gt;0,'ن-فرعي'!I236,"")</f>
        <v/>
      </c>
      <c r="H145" s="148">
        <f>IF('ن-فرعي'!J236&gt;0,'ن-فرعي'!J236,"")</f>
        <v>20000</v>
      </c>
      <c r="I145" s="112">
        <f t="shared" ref="I145:I150" si="18">IFERROR(H145/D145,"")</f>
        <v>0.8</v>
      </c>
    </row>
    <row r="146" spans="2:10" x14ac:dyDescent="0.2">
      <c r="B146" s="217">
        <f>IF('ن-فرعي'!D237&gt;0,'ن-فرعي'!D237,"")</f>
        <v>25401002</v>
      </c>
      <c r="C146" s="20" t="str">
        <f>IF('ن-فرعي'!E237&gt;0,'ن-فرعي'!E237,"")</f>
        <v>مجلة البيان</v>
      </c>
      <c r="D146" s="225">
        <f>IF('ن-فرعي'!F237&gt;0,'ن-فرعي'!F237,"")</f>
        <v>1000</v>
      </c>
      <c r="E146" s="225">
        <f>IF('ن-فرعي'!G237&gt;0,'ن-فرعي'!G237,"")</f>
        <v>500</v>
      </c>
      <c r="F146" s="225" t="str">
        <f>IF('ن-فرعي'!H237&gt;0,'ن-فرعي'!H237,"")</f>
        <v/>
      </c>
      <c r="G146" s="225" t="str">
        <f>IF('ن-فرعي'!I237&gt;0,'ن-فرعي'!I237,"")</f>
        <v/>
      </c>
      <c r="H146" s="148">
        <f>IF('ن-فرعي'!J237&gt;0,'ن-فرعي'!J237,"")</f>
        <v>1000</v>
      </c>
      <c r="I146" s="112">
        <f t="shared" si="18"/>
        <v>1</v>
      </c>
    </row>
    <row r="147" spans="2:10" x14ac:dyDescent="0.2">
      <c r="B147" s="217">
        <f>IF('ن-فرعي'!D238&gt;0,'ن-فرعي'!D238,"")</f>
        <v>25401003</v>
      </c>
      <c r="C147" s="20" t="str">
        <f>IF('ن-فرعي'!E238&gt;0,'ن-فرعي'!E238,"")</f>
        <v>طباعة بحوث الموسم الثقافي</v>
      </c>
      <c r="D147" s="225">
        <f>IF('ن-فرعي'!F238&gt;0,'ن-فرعي'!F238,"")</f>
        <v>1000</v>
      </c>
      <c r="E147" s="225">
        <f>IF('ن-فرعي'!G238&gt;0,'ن-فرعي'!G238,"")</f>
        <v>1000</v>
      </c>
      <c r="F147" s="225" t="str">
        <f>IF('ن-فرعي'!H238&gt;0,'ن-فرعي'!H238,"")</f>
        <v/>
      </c>
      <c r="G147" s="225" t="str">
        <f>IF('ن-فرعي'!I238&gt;0,'ن-فرعي'!I238,"")</f>
        <v/>
      </c>
      <c r="H147" s="148">
        <f>IF('ن-فرعي'!J238&gt;0,'ن-فرعي'!J238,"")</f>
        <v>1000</v>
      </c>
      <c r="I147" s="112">
        <f t="shared" si="18"/>
        <v>1</v>
      </c>
    </row>
    <row r="148" spans="2:10" x14ac:dyDescent="0.2">
      <c r="B148" s="217">
        <f>IF('ن-فرعي'!D239&gt;0,'ن-فرعي'!D239,"")</f>
        <v>25401005</v>
      </c>
      <c r="C148" s="20" t="str">
        <f>IF('ن-فرعي'!E239&gt;0,'ن-فرعي'!E239,"")</f>
        <v>المجلة الاردنية للدراسات الاسلامية</v>
      </c>
      <c r="D148" s="225">
        <f>IF('ن-فرعي'!F239&gt;0,'ن-فرعي'!F239,"")</f>
        <v>25000</v>
      </c>
      <c r="E148" s="225">
        <f>IF('ن-فرعي'!G239&gt;0,'ن-فرعي'!G239,"")</f>
        <v>35500</v>
      </c>
      <c r="F148" s="225">
        <f>IF('ن-فرعي'!H239&gt;0,'ن-فرعي'!H239,"")</f>
        <v>29277.5</v>
      </c>
      <c r="G148" s="225">
        <f>IF('ن-فرعي'!I239&gt;0,'ن-فرعي'!I239,"")</f>
        <v>6000</v>
      </c>
      <c r="H148" s="148">
        <f>IF('ن-فرعي'!J239&gt;0,'ن-فرعي'!J239,"")</f>
        <v>25000</v>
      </c>
      <c r="I148" s="112">
        <f t="shared" si="18"/>
        <v>1</v>
      </c>
    </row>
    <row r="149" spans="2:10" x14ac:dyDescent="0.2">
      <c r="B149" s="217">
        <f>IF('ن-فرعي'!D240&gt;0,'ن-فرعي'!D240,"")</f>
        <v>25401007</v>
      </c>
      <c r="C149" s="20" t="str">
        <f>IF('ن-فرعي'!E240&gt;0,'ن-فرعي'!E240,"")</f>
        <v>مجلة الزهراء</v>
      </c>
      <c r="D149" s="225">
        <f>IF('ن-فرعي'!F240&gt;0,'ن-فرعي'!F240,"")</f>
        <v>1000</v>
      </c>
      <c r="E149" s="225">
        <f>IF('ن-فرعي'!G240&gt;0,'ن-فرعي'!G240,"")</f>
        <v>1000</v>
      </c>
      <c r="F149" s="225" t="str">
        <f>IF('ن-فرعي'!H240&gt;0,'ن-فرعي'!H240,"")</f>
        <v/>
      </c>
      <c r="G149" s="225" t="str">
        <f>IF('ن-فرعي'!I240&gt;0,'ن-فرعي'!I240,"")</f>
        <v/>
      </c>
      <c r="H149" s="148">
        <f>IF('ن-فرعي'!J240&gt;0,'ن-فرعي'!J240,"")</f>
        <v>500</v>
      </c>
      <c r="I149" s="112">
        <f t="shared" si="18"/>
        <v>0.5</v>
      </c>
    </row>
    <row r="150" spans="2:10" x14ac:dyDescent="0.2">
      <c r="B150" s="484" t="str">
        <f>'ن-فرعي'!B242</f>
        <v>مجموع الفصل الرابع: المجلات والمطبوعات العلمية والثقافية</v>
      </c>
      <c r="C150" s="485"/>
      <c r="D150" s="144">
        <f>SUM(D145:D149)</f>
        <v>53000</v>
      </c>
      <c r="E150" s="144">
        <f>SUM(E145:E149)</f>
        <v>58000</v>
      </c>
      <c r="F150" s="144">
        <f t="shared" ref="F150:G150" si="19">SUM(F145:F149)</f>
        <v>47927.5</v>
      </c>
      <c r="G150" s="144">
        <f t="shared" si="19"/>
        <v>6000</v>
      </c>
      <c r="H150" s="144">
        <f>SUM(H145:H149)</f>
        <v>47500</v>
      </c>
      <c r="I150" s="112">
        <f t="shared" si="18"/>
        <v>0.89622641509433965</v>
      </c>
    </row>
    <row r="151" spans="2:10" x14ac:dyDescent="0.2">
      <c r="B151" s="468" t="str">
        <f>'ن-فرعي'!B243:K243</f>
        <v>الفصل الخامس: نفقات التزامات البحث العلمي المدورة من سنوات سابقة</v>
      </c>
      <c r="C151" s="469"/>
      <c r="D151" s="469"/>
      <c r="E151" s="469"/>
      <c r="F151" s="469"/>
      <c r="G151" s="469"/>
      <c r="H151" s="469"/>
      <c r="I151" s="470"/>
    </row>
    <row r="152" spans="2:10" x14ac:dyDescent="0.2">
      <c r="B152" s="217">
        <f>IF('ن-فرعي'!D245&gt;0,'ن-فرعي'!D245,"")</f>
        <v>25501001</v>
      </c>
      <c r="C152" s="20" t="str">
        <f>IF('ن-فرعي'!E245&gt;0,'ن-فرعي'!E245,"")</f>
        <v>التزامات نفقات بحث علمي مدورة / حجوزات من سنوات سابقة</v>
      </c>
      <c r="D152" s="225">
        <f>IF('ن-فرعي'!F245&gt;0,'ن-فرعي'!F245,"")</f>
        <v>700000</v>
      </c>
      <c r="E152" s="225">
        <f>IF('ن-فرعي'!G245&gt;0,'ن-فرعي'!G245,"")</f>
        <v>684000</v>
      </c>
      <c r="F152" s="225">
        <f>IF('ن-فرعي'!H245&gt;0,'ن-فرعي'!H245,"")</f>
        <v>267208.53100000002</v>
      </c>
      <c r="G152" s="225">
        <f>IF('ن-فرعي'!I245&gt;0,'ن-فرعي'!I245,"")</f>
        <v>415893.59399999998</v>
      </c>
      <c r="H152" s="148">
        <f>IF('ن-فرعي'!J245&gt;0,'ن-فرعي'!J245,"")</f>
        <v>620000</v>
      </c>
      <c r="I152" s="112">
        <f>IFERROR(H152/D152,"")</f>
        <v>0.88571428571428568</v>
      </c>
    </row>
    <row r="153" spans="2:10" x14ac:dyDescent="0.2">
      <c r="B153" s="484" t="str">
        <f>'ن-فرعي'!B247</f>
        <v>مجموع الفصل الخامس: نفقات التزامات البحث العلمي المدورة من سنوات سابقة</v>
      </c>
      <c r="C153" s="485"/>
      <c r="D153" s="144">
        <f>SUM(D152:D152)</f>
        <v>700000</v>
      </c>
      <c r="E153" s="144">
        <f>SUM(E152:E152)</f>
        <v>684000</v>
      </c>
      <c r="F153" s="144">
        <f t="shared" ref="F153:H153" si="20">SUM(F152:F152)</f>
        <v>267208.53100000002</v>
      </c>
      <c r="G153" s="144">
        <f t="shared" si="20"/>
        <v>415893.59399999998</v>
      </c>
      <c r="H153" s="144">
        <f t="shared" si="20"/>
        <v>620000</v>
      </c>
      <c r="I153" s="112">
        <f>IFERROR(H153/D153,"")</f>
        <v>0.88571428571428568</v>
      </c>
    </row>
    <row r="154" spans="2:10" x14ac:dyDescent="0.2">
      <c r="B154" s="468" t="str">
        <f>'ن-فرعي'!B248:K248</f>
        <v>الفصل السادس: أجهزة وتجهيزات وحواسيب للتدريس والبحث العلمي</v>
      </c>
      <c r="C154" s="469"/>
      <c r="D154" s="469"/>
      <c r="E154" s="469"/>
      <c r="F154" s="469"/>
      <c r="G154" s="469"/>
      <c r="H154" s="469"/>
      <c r="I154" s="470"/>
    </row>
    <row r="155" spans="2:10" x14ac:dyDescent="0.2">
      <c r="B155" s="217">
        <f>IF('ن-فرعي'!D250&gt;0,'ن-فرعي'!D250,"")</f>
        <v>25601001</v>
      </c>
      <c r="C155" s="20" t="str">
        <f>IF('ن-فرعي'!E250&gt;0,'ن-فرعي'!E250,"")</f>
        <v>اجهزه وتجهيزات وحواسيب وبرمجيات للتدريس والبحث العلمي (المختبرات)</v>
      </c>
      <c r="D155" s="225">
        <f>IF('ن-فرعي'!F250&gt;0,'ن-فرعي'!F250,"")</f>
        <v>112000</v>
      </c>
      <c r="E155" s="225">
        <f>IF('ن-فرعي'!G250&gt;0,'ن-فرعي'!G250,"")</f>
        <v>16000</v>
      </c>
      <c r="F155" s="225">
        <f>IF('ن-فرعي'!H250&gt;0,'ن-فرعي'!H250,"")</f>
        <v>2673</v>
      </c>
      <c r="G155" s="225">
        <f>IF('ن-فرعي'!I250&gt;0,'ن-فرعي'!I250,"")</f>
        <v>10820</v>
      </c>
      <c r="H155" s="148">
        <f>IF('ن-فرعي'!J250&gt;0,'ن-فرعي'!J250,"")</f>
        <v>240000</v>
      </c>
      <c r="I155" s="112">
        <f>IFERROR(H155/D155,"")</f>
        <v>2.1428571428571428</v>
      </c>
    </row>
    <row r="156" spans="2:10" s="46" customFormat="1" x14ac:dyDescent="0.2">
      <c r="B156" s="217">
        <f>IF('ن-فرعي'!D251&gt;0,'ن-فرعي'!D251,"")</f>
        <v>25601004</v>
      </c>
      <c r="C156" s="20" t="str">
        <f>IF('ن-فرعي'!E251&gt;0,'ن-فرعي'!E251,"")</f>
        <v>أجهزة وتجهيزات خاصة بالقاعات التدريسية</v>
      </c>
      <c r="D156" s="225">
        <f>IF('ن-فرعي'!F251&gt;0,'ن-فرعي'!F251,"")</f>
        <v>4000</v>
      </c>
      <c r="E156" s="225" t="str">
        <f>IF('ن-فرعي'!G251&gt;0,'ن-فرعي'!G251,"")</f>
        <v/>
      </c>
      <c r="F156" s="225" t="str">
        <f>IF('ن-فرعي'!H251&gt;0,'ن-فرعي'!H251,"")</f>
        <v/>
      </c>
      <c r="G156" s="225" t="str">
        <f>IF('ن-فرعي'!I251&gt;0,'ن-فرعي'!I251,"")</f>
        <v/>
      </c>
      <c r="H156" s="148">
        <f>IF('ن-فرعي'!J251&gt;0,'ن-فرعي'!J251,"")</f>
        <v>4000</v>
      </c>
      <c r="I156" s="112">
        <f>IFERROR(H156/D156,"")</f>
        <v>1</v>
      </c>
      <c r="J156" s="15"/>
    </row>
    <row r="157" spans="2:10" x14ac:dyDescent="0.2">
      <c r="B157" s="217">
        <f>IF('ن-فرعي'!D254&gt;0,'ن-فرعي'!D254,"")</f>
        <v>25602001</v>
      </c>
      <c r="C157" s="20" t="str">
        <f>IF('ن-فرعي'!E254&gt;0,'ن-فرعي'!E254,"")</f>
        <v>نفقات البحث والتدريس (مواد بحثية وتعليمية، زجاجيات، كيماويات)</v>
      </c>
      <c r="D157" s="225">
        <f>IF('ن-فرعي'!F254&gt;0,'ن-فرعي'!F254,"")</f>
        <v>69000</v>
      </c>
      <c r="E157" s="225">
        <f>IF('ن-فرعي'!G254&gt;0,'ن-فرعي'!G254,"")</f>
        <v>80000</v>
      </c>
      <c r="F157" s="225">
        <f>IF('ن-فرعي'!H254&gt;0,'ن-فرعي'!H254,"")</f>
        <v>26431.962</v>
      </c>
      <c r="G157" s="225">
        <f>IF('ن-فرعي'!I254&gt;0,'ن-فرعي'!I254,"")</f>
        <v>51587.24</v>
      </c>
      <c r="H157" s="148">
        <f>IF('ن-فرعي'!J254&gt;0,'ن-فرعي'!J254,"")</f>
        <v>124000</v>
      </c>
      <c r="I157" s="112">
        <f>IFERROR(H157/D157,"")</f>
        <v>1.7971014492753623</v>
      </c>
    </row>
    <row r="158" spans="2:10" x14ac:dyDescent="0.2">
      <c r="B158" s="217">
        <f>IF('ن-فرعي'!D257&gt;0,'ن-فرعي'!D257,"")</f>
        <v>25603001</v>
      </c>
      <c r="C158" s="19" t="str">
        <f>IF('ن-فرعي'!E257&gt;0,'ن-فرعي'!E257,"")</f>
        <v xml:space="preserve">صيانة وعقود صيانة أجهزة المختبرات العلمية  </v>
      </c>
      <c r="D158" s="225">
        <f>IF('ن-فرعي'!F257&gt;0,'ن-فرعي'!F257,"")</f>
        <v>55137</v>
      </c>
      <c r="E158" s="225">
        <f>IF('ن-فرعي'!G257&gt;0,'ن-فرعي'!G257,"")</f>
        <v>20137</v>
      </c>
      <c r="F158" s="225">
        <f>IF('ن-فرعي'!H257&gt;0,'ن-فرعي'!H257,"")</f>
        <v>6785.9989999999998</v>
      </c>
      <c r="G158" s="225">
        <f>IF('ن-فرعي'!I257&gt;0,'ن-فرعي'!I257,"")</f>
        <v>12489.001</v>
      </c>
      <c r="H158" s="148">
        <f>IF('ن-فرعي'!J257&gt;0,'ن-فرعي'!J257,"")</f>
        <v>77000</v>
      </c>
      <c r="I158" s="112">
        <f>IFERROR(H158/D158,"")</f>
        <v>1.3965213921685982</v>
      </c>
    </row>
    <row r="159" spans="2:10" x14ac:dyDescent="0.2">
      <c r="B159" s="484" t="str">
        <f>'ن-فرعي'!B259</f>
        <v>مجموع الفصل السادس: أجهزة وتجهيزات وحواسيب للتدريس والبحث العلمي</v>
      </c>
      <c r="C159" s="485"/>
      <c r="D159" s="144">
        <f>SUM(D155:D158)</f>
        <v>240137</v>
      </c>
      <c r="E159" s="144">
        <f>SUM(E155:E158)</f>
        <v>116137</v>
      </c>
      <c r="F159" s="144">
        <f t="shared" ref="F159:G159" si="21">SUM(F155:F158)</f>
        <v>35890.960999999996</v>
      </c>
      <c r="G159" s="144">
        <f t="shared" si="21"/>
        <v>74896.240999999995</v>
      </c>
      <c r="H159" s="144">
        <f>SUM(H155:H158)</f>
        <v>445000</v>
      </c>
      <c r="I159" s="112">
        <f>IFERROR(H159/D159,"")</f>
        <v>1.8531088503645836</v>
      </c>
    </row>
    <row r="160" spans="2:10" x14ac:dyDescent="0.2">
      <c r="B160" s="468" t="str">
        <f>'ن-فرعي'!B260:K260</f>
        <v>الفصل السابع: الكتب والدوريات الورقية والالكترونية</v>
      </c>
      <c r="C160" s="469"/>
      <c r="D160" s="469"/>
      <c r="E160" s="469"/>
      <c r="F160" s="469"/>
      <c r="G160" s="469"/>
      <c r="H160" s="469"/>
      <c r="I160" s="470"/>
    </row>
    <row r="161" spans="2:10" x14ac:dyDescent="0.2">
      <c r="B161" s="217">
        <f>IF('ن-فرعي'!D262&gt;0,'ن-فرعي'!D262,"")</f>
        <v>25701001</v>
      </c>
      <c r="C161" s="20" t="str">
        <f>IF('ن-فرعي'!E262&gt;0,'ن-فرعي'!E262,"")</f>
        <v xml:space="preserve">كتب ودوريات وقواعد البيانات الورقية والالكترونية </v>
      </c>
      <c r="D161" s="225">
        <f>IF('ن-فرعي'!F262&gt;0,'ن-فرعي'!F262,"")</f>
        <v>17000</v>
      </c>
      <c r="E161" s="225">
        <f>IF('ن-فرعي'!G262&gt;0,'ن-فرعي'!G262,"")</f>
        <v>1000</v>
      </c>
      <c r="F161" s="225">
        <f>IF('ن-فرعي'!H262&gt;0,'ن-فرعي'!H262,"")</f>
        <v>201</v>
      </c>
      <c r="G161" s="225" t="str">
        <f>IF('ن-فرعي'!I262&gt;0,'ن-فرعي'!I262,"")</f>
        <v/>
      </c>
      <c r="H161" s="148">
        <f>IF('ن-فرعي'!J262&gt;0,'ن-فرعي'!J262,"")</f>
        <v>30000</v>
      </c>
      <c r="I161" s="112">
        <f>IFERROR(H161/D161,"")</f>
        <v>1.7647058823529411</v>
      </c>
    </row>
    <row r="162" spans="2:10" x14ac:dyDescent="0.2">
      <c r="B162" s="217">
        <f>IF('ن-فرعي'!D263&gt;0,'ن-فرعي'!D263,"")</f>
        <v>25701002</v>
      </c>
      <c r="C162" s="20" t="str">
        <f>IF('ن-فرعي'!E263&gt;0,'ن-فرعي'!E263,"")</f>
        <v>تجليد الكتب والدوريات</v>
      </c>
      <c r="D162" s="225">
        <f>IF('ن-فرعي'!F263&gt;0,'ن-فرعي'!F263,"")</f>
        <v>4000</v>
      </c>
      <c r="E162" s="225" t="str">
        <f>IF('ن-فرعي'!G263&gt;0,'ن-فرعي'!G263,"")</f>
        <v/>
      </c>
      <c r="F162" s="225" t="str">
        <f>IF('ن-فرعي'!H263&gt;0,'ن-فرعي'!H263,"")</f>
        <v/>
      </c>
      <c r="G162" s="225" t="str">
        <f>IF('ن-فرعي'!I263&gt;0,'ن-فرعي'!I263,"")</f>
        <v/>
      </c>
      <c r="H162" s="148">
        <f>IF('ن-فرعي'!J263&gt;0,'ن-فرعي'!J263,"")</f>
        <v>5000</v>
      </c>
      <c r="I162" s="112">
        <f>IFERROR(H162/D162,"")</f>
        <v>1.25</v>
      </c>
    </row>
    <row r="163" spans="2:10" x14ac:dyDescent="0.2">
      <c r="B163" s="484" t="str">
        <f>'ن-فرعي'!B265</f>
        <v xml:space="preserve">مجموع الفصل السابع: الكتب والدوريات الورقية والالكترونية </v>
      </c>
      <c r="C163" s="485"/>
      <c r="D163" s="144">
        <f t="shared" ref="D163:G163" si="22">SUM(D161:D162)</f>
        <v>21000</v>
      </c>
      <c r="E163" s="144">
        <f>SUM(E161:E162)</f>
        <v>1000</v>
      </c>
      <c r="F163" s="144">
        <f t="shared" si="22"/>
        <v>201</v>
      </c>
      <c r="G163" s="144">
        <f t="shared" si="22"/>
        <v>0</v>
      </c>
      <c r="H163" s="144">
        <f>SUM(H161:H162)</f>
        <v>35000</v>
      </c>
      <c r="I163" s="112">
        <f>IFERROR(H163/D163,"")</f>
        <v>1.6666666666666667</v>
      </c>
    </row>
    <row r="164" spans="2:10" x14ac:dyDescent="0.2">
      <c r="B164" s="482" t="str">
        <f>'ن-فرعي'!B266</f>
        <v>مجموع الباب الثاني: نفقات البحث العلمي</v>
      </c>
      <c r="C164" s="483"/>
      <c r="D164" s="138">
        <f t="shared" ref="D164:G164" si="23">D133+D137+D143+D150+D153+D159+D163</f>
        <v>1891137</v>
      </c>
      <c r="E164" s="138">
        <f t="shared" si="23"/>
        <v>1891137</v>
      </c>
      <c r="F164" s="138">
        <f t="shared" si="23"/>
        <v>1322014.7219999998</v>
      </c>
      <c r="G164" s="138">
        <f t="shared" si="23"/>
        <v>505450.39499999996</v>
      </c>
      <c r="H164" s="138">
        <f>H133+H137+H143+H150+H153+H159+H163</f>
        <v>2128500</v>
      </c>
      <c r="I164" s="112">
        <f>IFERROR(H164/D164,"")</f>
        <v>1.1255133816323195</v>
      </c>
    </row>
    <row r="165" spans="2:10" x14ac:dyDescent="0.2">
      <c r="B165" s="407" t="str">
        <f>'ن-فرعي'!B267:K267</f>
        <v>الباب الثالث: نفقات البعثات العلمية والدورات التدريبية</v>
      </c>
      <c r="C165" s="408"/>
      <c r="D165" s="408"/>
      <c r="E165" s="408"/>
      <c r="F165" s="408"/>
      <c r="G165" s="408"/>
      <c r="H165" s="408"/>
      <c r="I165" s="409"/>
    </row>
    <row r="166" spans="2:10" x14ac:dyDescent="0.2">
      <c r="B166" s="468" t="str">
        <f>'ن-فرعي'!B268:K268</f>
        <v>الفصل الأول: نفقات البعثات العلمية والدورات التدريبية</v>
      </c>
      <c r="C166" s="469"/>
      <c r="D166" s="469"/>
      <c r="E166" s="469"/>
      <c r="F166" s="469"/>
      <c r="G166" s="469"/>
      <c r="H166" s="469"/>
      <c r="I166" s="470"/>
    </row>
    <row r="167" spans="2:10" x14ac:dyDescent="0.2">
      <c r="B167" s="217">
        <f>IF('ن-فرعي'!D270&gt;0,'ن-فرعي'!D270,"")</f>
        <v>25901001</v>
      </c>
      <c r="C167" s="20" t="str">
        <f>IF('ن-فرعي'!E270&gt;0,'ن-فرعي'!E270,"")</f>
        <v>نفقات الايفاد والبعثات العلمية</v>
      </c>
      <c r="D167" s="225">
        <f>IF('ن-فرعي'!F270&gt;0,'ن-فرعي'!F270,"")</f>
        <v>400000</v>
      </c>
      <c r="E167" s="225">
        <f>IF('ن-فرعي'!G270&gt;0,'ن-فرعي'!G270,"")</f>
        <v>400000</v>
      </c>
      <c r="F167" s="225">
        <f>IF('ن-فرعي'!H270&gt;0,'ن-فرعي'!H270,"")</f>
        <v>295103.71399999998</v>
      </c>
      <c r="G167" s="225" t="str">
        <f>IF('ن-فرعي'!I270&gt;0,'ن-فرعي'!I270,"")</f>
        <v/>
      </c>
      <c r="H167" s="148">
        <f>IF('ن-فرعي'!J270&gt;0,'ن-فرعي'!J270,"")</f>
        <v>300000</v>
      </c>
      <c r="I167" s="112">
        <f>IFERROR(H167/D167,"")</f>
        <v>0.75</v>
      </c>
    </row>
    <row r="168" spans="2:10" x14ac:dyDescent="0.2">
      <c r="B168" s="217">
        <f>IF('ن-فرعي'!D273&gt;0,'ن-فرعي'!D273,"")</f>
        <v>25902001</v>
      </c>
      <c r="C168" s="20" t="str">
        <f>IF('ن-فرعي'!E273&gt;0,'ن-فرعي'!E273,"")</f>
        <v>الدورات التدريبية</v>
      </c>
      <c r="D168" s="225">
        <f>IF('ن-فرعي'!F273&gt;0,'ن-فرعي'!F273,"")</f>
        <v>10000</v>
      </c>
      <c r="E168" s="225">
        <f>IF('ن-فرعي'!G273&gt;0,'ن-فرعي'!G273,"")</f>
        <v>10000</v>
      </c>
      <c r="F168" s="225">
        <f>IF('ن-فرعي'!H273&gt;0,'ن-فرعي'!H273,"")</f>
        <v>200</v>
      </c>
      <c r="G168" s="225" t="str">
        <f>IF('ن-فرعي'!I273&gt;0,'ن-فرعي'!I273,"")</f>
        <v/>
      </c>
      <c r="H168" s="148">
        <f>IF('ن-فرعي'!J273&gt;0,'ن-فرعي'!J273,"")</f>
        <v>10000</v>
      </c>
      <c r="I168" s="112">
        <f>IFERROR(H168/D168,"")</f>
        <v>1</v>
      </c>
    </row>
    <row r="169" spans="2:10" x14ac:dyDescent="0.2">
      <c r="B169" s="438" t="str">
        <f>'ن-فرعي'!B275</f>
        <v>مجموع الفصل الأول: نفقات البعثات العلمية والدورات التدريبية</v>
      </c>
      <c r="C169" s="439"/>
      <c r="D169" s="144">
        <f>SUM(D167:D168)</f>
        <v>410000</v>
      </c>
      <c r="E169" s="144">
        <f t="shared" ref="E169:G169" si="24">SUM(E167:E168)</f>
        <v>410000</v>
      </c>
      <c r="F169" s="144">
        <f t="shared" si="24"/>
        <v>295303.71399999998</v>
      </c>
      <c r="G169" s="144">
        <f t="shared" si="24"/>
        <v>0</v>
      </c>
      <c r="H169" s="144">
        <f>SUM(H167:H168)</f>
        <v>310000</v>
      </c>
      <c r="I169" s="112">
        <f>IFERROR(H169/D169,"")</f>
        <v>0.75609756097560976</v>
      </c>
    </row>
    <row r="170" spans="2:10" x14ac:dyDescent="0.2">
      <c r="B170" s="482" t="str">
        <f>'ن-فرعي'!B276</f>
        <v>مجموع الباب الثالث: نفقات البعثات العلمية والدورات التدريبية</v>
      </c>
      <c r="C170" s="483"/>
      <c r="D170" s="138">
        <f>SUM(D169)</f>
        <v>410000</v>
      </c>
      <c r="E170" s="138">
        <f t="shared" ref="E170:H170" si="25">SUM(E169)</f>
        <v>410000</v>
      </c>
      <c r="F170" s="138">
        <f t="shared" si="25"/>
        <v>295303.71399999998</v>
      </c>
      <c r="G170" s="138">
        <f t="shared" si="25"/>
        <v>0</v>
      </c>
      <c r="H170" s="138">
        <f t="shared" si="25"/>
        <v>310000</v>
      </c>
      <c r="I170" s="112">
        <f>IFERROR(H170/D170,"")</f>
        <v>0.75609756097560976</v>
      </c>
    </row>
    <row r="171" spans="2:10" x14ac:dyDescent="0.2">
      <c r="B171" s="407" t="str">
        <f>'ن-فرعي'!B277:K277</f>
        <v>الباب الرابع: النفقات الرأسمالية</v>
      </c>
      <c r="C171" s="408"/>
      <c r="D171" s="408"/>
      <c r="E171" s="408"/>
      <c r="F171" s="408"/>
      <c r="G171" s="408"/>
      <c r="H171" s="408"/>
      <c r="I171" s="409"/>
    </row>
    <row r="172" spans="2:10" x14ac:dyDescent="0.2">
      <c r="B172" s="468" t="str">
        <f>'ن-فرعي'!B278:K278</f>
        <v>الفصل الأول: رخص متنوعة وتطوير التقنيات المختلفة</v>
      </c>
      <c r="C172" s="469"/>
      <c r="D172" s="469"/>
      <c r="E172" s="469"/>
      <c r="F172" s="469"/>
      <c r="G172" s="469"/>
      <c r="H172" s="469"/>
      <c r="I172" s="470"/>
    </row>
    <row r="173" spans="2:10" x14ac:dyDescent="0.2">
      <c r="B173" s="217">
        <f>IF('ن-فرعي'!D280&gt;0,'ن-فرعي'!D280,"")</f>
        <v>26201041</v>
      </c>
      <c r="C173" s="20" t="str">
        <f>IF('ن-فرعي'!E280&gt;0,'ن-فرعي'!E280,"")</f>
        <v>رخص برمجيات مايكروسوفت</v>
      </c>
      <c r="D173" s="225">
        <f>IF('ن-فرعي'!F280&gt;0,'ن-فرعي'!F280,"")</f>
        <v>65000</v>
      </c>
      <c r="E173" s="225">
        <f>IF('ن-فرعي'!G280&gt;0,'ن-فرعي'!G280,"")</f>
        <v>65000</v>
      </c>
      <c r="F173" s="225">
        <f>IF('ن-فرعي'!H280&gt;0,'ن-فرعي'!H280,"")</f>
        <v>1799.4380000000001</v>
      </c>
      <c r="G173" s="225">
        <f>IF('ن-فرعي'!I280&gt;0,'ن-فرعي'!I280,"")</f>
        <v>18400</v>
      </c>
      <c r="H173" s="148">
        <f>IF('ن-فرعي'!J280&gt;0,'ن-فرعي'!J280,"")</f>
        <v>35000</v>
      </c>
      <c r="I173" s="112">
        <f t="shared" ref="I173:I179" si="26">IFERROR(H173/D173,"")</f>
        <v>0.53846153846153844</v>
      </c>
    </row>
    <row r="174" spans="2:10" x14ac:dyDescent="0.2">
      <c r="B174" s="217">
        <f>IF('ن-فرعي'!D281&gt;0,'ن-فرعي'!D281,"")</f>
        <v>26201049</v>
      </c>
      <c r="C174" s="20" t="str">
        <f>IF('ن-فرعي'!E281&gt;0,'ن-فرعي'!E281,"")</f>
        <v>رخص الانظمة الرئيسية وأمن المعلومات</v>
      </c>
      <c r="D174" s="225">
        <f>IF('ن-فرعي'!F281&gt;0,'ن-فرعي'!F281,"")</f>
        <v>20000</v>
      </c>
      <c r="E174" s="225">
        <f>IF('ن-فرعي'!G281&gt;0,'ن-فرعي'!G281,"")</f>
        <v>20000</v>
      </c>
      <c r="F174" s="225" t="str">
        <f>IF('ن-فرعي'!H281&gt;0,'ن-فرعي'!H281,"")</f>
        <v/>
      </c>
      <c r="G174" s="225">
        <f>IF('ن-فرعي'!I281&gt;0,'ن-فرعي'!I281,"")</f>
        <v>4500</v>
      </c>
      <c r="H174" s="148">
        <f>IF('ن-فرعي'!J281&gt;0,'ن-فرعي'!J281,"")</f>
        <v>40000</v>
      </c>
      <c r="I174" s="112">
        <f t="shared" si="26"/>
        <v>2</v>
      </c>
    </row>
    <row r="175" spans="2:10" x14ac:dyDescent="0.2">
      <c r="B175" s="217">
        <f>IF('ن-فرعي'!D282&gt;0,'ن-فرعي'!D282,"")</f>
        <v>26201050</v>
      </c>
      <c r="C175" s="20" t="str">
        <f>IF('ن-فرعي'!E282&gt;0,'ن-فرعي'!E282,"")</f>
        <v>رخص قواعد البيانات</v>
      </c>
      <c r="D175" s="225">
        <f>IF('ن-فرعي'!F282&gt;0,'ن-فرعي'!F282,"")</f>
        <v>70000</v>
      </c>
      <c r="E175" s="225">
        <f>IF('ن-فرعي'!G282&gt;0,'ن-فرعي'!G282,"")</f>
        <v>70000</v>
      </c>
      <c r="F175" s="225">
        <f>IF('ن-فرعي'!H282&gt;0,'ن-فرعي'!H282,"")</f>
        <v>50</v>
      </c>
      <c r="G175" s="225">
        <f>IF('ن-فرعي'!I282&gt;0,'ن-فرعي'!I282,"")</f>
        <v>25000</v>
      </c>
      <c r="H175" s="148">
        <f>IF('ن-فرعي'!J282&gt;0,'ن-فرعي'!J282,"")</f>
        <v>70000</v>
      </c>
      <c r="I175" s="112">
        <f t="shared" si="26"/>
        <v>1</v>
      </c>
    </row>
    <row r="176" spans="2:10" s="46" customFormat="1" x14ac:dyDescent="0.2">
      <c r="B176" s="217">
        <f>IF('ن-فرعي'!D283&gt;0,'ن-فرعي'!D283,"")</f>
        <v>26201053</v>
      </c>
      <c r="C176" s="20" t="str">
        <f>IF('ن-فرعي'!E283&gt;0,'ن-فرعي'!E283,"")</f>
        <v xml:space="preserve">الرخصة الراديوية السنوية للإذاعة </v>
      </c>
      <c r="D176" s="225">
        <f>IF('ن-فرعي'!F283&gt;0,'ن-فرعي'!F283,"")</f>
        <v>16000</v>
      </c>
      <c r="E176" s="225">
        <f>IF('ن-فرعي'!G283&gt;0,'ن-فرعي'!G283,"")</f>
        <v>16000</v>
      </c>
      <c r="F176" s="225" t="str">
        <f>IF('ن-فرعي'!H283&gt;0,'ن-فرعي'!H283,"")</f>
        <v/>
      </c>
      <c r="G176" s="225" t="str">
        <f>IF('ن-فرعي'!I283&gt;0,'ن-فرعي'!I283,"")</f>
        <v/>
      </c>
      <c r="H176" s="148">
        <f>IF('ن-فرعي'!J283&gt;0,'ن-فرعي'!J283,"")</f>
        <v>9500</v>
      </c>
      <c r="I176" s="112">
        <f t="shared" si="26"/>
        <v>0.59375</v>
      </c>
      <c r="J176" s="15"/>
    </row>
    <row r="177" spans="2:10" x14ac:dyDescent="0.2">
      <c r="B177" s="217">
        <f>IF('ن-فرعي'!D286&gt;0,'ن-فرعي'!D286,"")</f>
        <v>26202002</v>
      </c>
      <c r="C177" s="20" t="str">
        <f>IF('ن-فرعي'!E286&gt;0,'ن-فرعي'!E286,"")</f>
        <v>تطوير أجهزة وبرمجيات أنظمة الحماية وملحقاته</v>
      </c>
      <c r="D177" s="225">
        <f>IF('ن-فرعي'!F286&gt;0,'ن-فرعي'!F286,"")</f>
        <v>50000</v>
      </c>
      <c r="E177" s="225">
        <f>IF('ن-فرعي'!G286&gt;0,'ن-فرعي'!G286,"")</f>
        <v>50000</v>
      </c>
      <c r="F177" s="225" t="str">
        <f>IF('ن-فرعي'!H286&gt;0,'ن-فرعي'!H286,"")</f>
        <v/>
      </c>
      <c r="G177" s="225">
        <f>IF('ن-فرعي'!I286&gt;0,'ن-فرعي'!I286,"")</f>
        <v>300</v>
      </c>
      <c r="H177" s="148">
        <f>IF('ن-فرعي'!J286&gt;0,'ن-فرعي'!J286,"")</f>
        <v>140000</v>
      </c>
      <c r="I177" s="112">
        <f t="shared" si="26"/>
        <v>2.8</v>
      </c>
    </row>
    <row r="178" spans="2:10" s="46" customFormat="1" x14ac:dyDescent="0.2">
      <c r="B178" s="218" t="str">
        <f>IF('ن-فرعي'!D287&gt;0,'ن-فرعي'!D287,"")</f>
        <v/>
      </c>
      <c r="C178" s="64" t="str">
        <f>IF('ن-فرعي'!E287&gt;0,'ن-فرعي'!E287,"")</f>
        <v>نظام النسخ الاحتياطي</v>
      </c>
      <c r="D178" s="249" t="str">
        <f>IF('ن-فرعي'!F287&gt;0,'ن-فرعي'!F287,"")</f>
        <v/>
      </c>
      <c r="E178" s="249" t="str">
        <f>IF('ن-فرعي'!G287&gt;0,'ن-فرعي'!G287,"")</f>
        <v/>
      </c>
      <c r="F178" s="249" t="str">
        <f>IF('ن-فرعي'!H287&gt;0,'ن-فرعي'!H287,"")</f>
        <v/>
      </c>
      <c r="G178" s="249" t="str">
        <f>IF('ن-فرعي'!I287&gt;0,'ن-فرعي'!I287,"")</f>
        <v/>
      </c>
      <c r="H178" s="148">
        <f>IF('ن-فرعي'!J287&gt;0,'ن-فرعي'!J287,"")</f>
        <v>40000</v>
      </c>
      <c r="I178" s="112" t="str">
        <f t="shared" si="26"/>
        <v/>
      </c>
      <c r="J178" s="15"/>
    </row>
    <row r="179" spans="2:10" x14ac:dyDescent="0.2">
      <c r="B179" s="438" t="str">
        <f>'ن-فرعي'!B289</f>
        <v>مجموع الفصل الأول: رخص متنوعة وتطوير التقنيات المختلفة</v>
      </c>
      <c r="C179" s="439"/>
      <c r="D179" s="144">
        <f>SUM(D173:D178)</f>
        <v>221000</v>
      </c>
      <c r="E179" s="144">
        <f>SUM(E173:E178)</f>
        <v>221000</v>
      </c>
      <c r="F179" s="144">
        <f t="shared" ref="F179:H179" si="27">SUM(F173:F178)</f>
        <v>1849.4380000000001</v>
      </c>
      <c r="G179" s="144">
        <f t="shared" si="27"/>
        <v>48200</v>
      </c>
      <c r="H179" s="144">
        <f t="shared" si="27"/>
        <v>334500</v>
      </c>
      <c r="I179" s="112">
        <f t="shared" si="26"/>
        <v>1.5135746606334841</v>
      </c>
    </row>
    <row r="180" spans="2:10" x14ac:dyDescent="0.2">
      <c r="B180" s="468" t="str">
        <f>'ن-فرعي'!B290:K290</f>
        <v>الفصل الثاني: التجهيزات المكتبية والأثاث</v>
      </c>
      <c r="C180" s="469"/>
      <c r="D180" s="469"/>
      <c r="E180" s="469"/>
      <c r="F180" s="469"/>
      <c r="G180" s="469"/>
      <c r="H180" s="469"/>
      <c r="I180" s="470"/>
    </row>
    <row r="181" spans="2:10" x14ac:dyDescent="0.2">
      <c r="B181" s="217">
        <f>IF('ن-فرعي'!D292&gt;0,'ن-فرعي'!D292,"")</f>
        <v>26301001</v>
      </c>
      <c r="C181" s="20" t="str">
        <f>IF('ن-فرعي'!E292&gt;0,'ن-فرعي'!E292,"")</f>
        <v>التجهيزات المكتبية والاثاث</v>
      </c>
      <c r="D181" s="225">
        <f>IF('ن-فرعي'!F292&gt;0,'ن-فرعي'!F292,"")</f>
        <v>40000</v>
      </c>
      <c r="E181" s="225">
        <f>IF('ن-فرعي'!G292&gt;0,'ن-فرعي'!G292,"")</f>
        <v>40000</v>
      </c>
      <c r="F181" s="225">
        <f>IF('ن-فرعي'!H292&gt;0,'ن-فرعي'!H292,"")</f>
        <v>2423.1999999999998</v>
      </c>
      <c r="G181" s="225">
        <f>IF('ن-فرعي'!I292&gt;0,'ن-فرعي'!I292,"")</f>
        <v>9257.5</v>
      </c>
      <c r="H181" s="148">
        <f>IF('ن-فرعي'!J292&gt;0,'ن-فرعي'!J292,"")</f>
        <v>40000</v>
      </c>
      <c r="I181" s="112">
        <f t="shared" ref="I181:I194" si="28">IFERROR(H181/D181,"")</f>
        <v>1</v>
      </c>
    </row>
    <row r="182" spans="2:10" x14ac:dyDescent="0.2">
      <c r="B182" s="217">
        <f>IF('ن-فرعي'!D293&gt;0,'ن-فرعي'!D293,"")</f>
        <v>26301006</v>
      </c>
      <c r="C182" s="20" t="str">
        <f>IF('ن-فرعي'!E293&gt;0,'ن-فرعي'!E293,"")</f>
        <v>تجهيز أرفف معدنية للمكتبة الهاشمية</v>
      </c>
      <c r="D182" s="225">
        <f>IF('ن-فرعي'!F293&gt;0,'ن-فرعي'!F293,"")</f>
        <v>4000</v>
      </c>
      <c r="E182" s="225">
        <f>IF('ن-فرعي'!G293&gt;0,'ن-فرعي'!G293,"")</f>
        <v>4000</v>
      </c>
      <c r="F182" s="225" t="str">
        <f>IF('ن-فرعي'!H293&gt;0,'ن-فرعي'!H293,"")</f>
        <v/>
      </c>
      <c r="G182" s="225" t="str">
        <f>IF('ن-فرعي'!I293&gt;0,'ن-فرعي'!I293,"")</f>
        <v/>
      </c>
      <c r="H182" s="148">
        <f>IF('ن-فرعي'!J293&gt;0,'ن-فرعي'!J293,"")</f>
        <v>5000</v>
      </c>
      <c r="I182" s="112">
        <f t="shared" si="28"/>
        <v>1.25</v>
      </c>
    </row>
    <row r="183" spans="2:10" s="46" customFormat="1" x14ac:dyDescent="0.2">
      <c r="B183" s="217">
        <f>IF('ن-فرعي'!D294&gt;0,'ن-فرعي'!D294,"")</f>
        <v>26301007</v>
      </c>
      <c r="C183" s="20" t="str">
        <f>IF('ن-فرعي'!E294&gt;0,'ن-فرعي'!E294,"")</f>
        <v>أجهزة وتجهيزات للمقسم</v>
      </c>
      <c r="D183" s="225">
        <f>IF('ن-فرعي'!F294&gt;0,'ن-فرعي'!F294,"")</f>
        <v>5000</v>
      </c>
      <c r="E183" s="225">
        <f>IF('ن-فرعي'!G294&gt;0,'ن-فرعي'!G294,"")</f>
        <v>5000</v>
      </c>
      <c r="F183" s="225">
        <f>IF('ن-فرعي'!H294&gt;0,'ن-فرعي'!H294,"")</f>
        <v>403.99799999999999</v>
      </c>
      <c r="G183" s="225">
        <f>IF('ن-فرعي'!I294&gt;0,'ن-فرعي'!I294,"")</f>
        <v>144.00200000000001</v>
      </c>
      <c r="H183" s="148">
        <f>IF('ن-فرعي'!J294&gt;0,'ن-فرعي'!J294,"")</f>
        <v>5000</v>
      </c>
      <c r="I183" s="112">
        <f t="shared" si="28"/>
        <v>1</v>
      </c>
      <c r="J183" s="15"/>
    </row>
    <row r="184" spans="2:10" s="46" customFormat="1" x14ac:dyDescent="0.2">
      <c r="B184" s="219">
        <f>IF('ن-فرعي'!D295&gt;0,'ن-فرعي'!D295,"")</f>
        <v>26301015</v>
      </c>
      <c r="C184" s="128" t="str">
        <f>IF('ن-فرعي'!E295&gt;0,'ن-فرعي'!E295,"")</f>
        <v>أجهزة وتجهيزات وأثاث مبنى كلية الاقتصاد الجديد</v>
      </c>
      <c r="D184" s="249">
        <f>IF('ن-فرعي'!F295&gt;0,'ن-فرعي'!F295,"")</f>
        <v>250000</v>
      </c>
      <c r="E184" s="249">
        <f>IF('ن-فرعي'!G295&gt;0,'ن-فرعي'!G295,"")</f>
        <v>250000</v>
      </c>
      <c r="F184" s="249" t="str">
        <f>IF('ن-فرعي'!H295&gt;0,'ن-فرعي'!H295,"")</f>
        <v/>
      </c>
      <c r="G184" s="249" t="str">
        <f>IF('ن-فرعي'!I295&gt;0,'ن-فرعي'!I295,"")</f>
        <v/>
      </c>
      <c r="H184" s="148" t="str">
        <f>IF('ن-فرعي'!J295&gt;0,'ن-فرعي'!J295,"")</f>
        <v/>
      </c>
      <c r="I184" s="112" t="str">
        <f t="shared" si="28"/>
        <v/>
      </c>
      <c r="J184" s="15"/>
    </row>
    <row r="185" spans="2:10" s="46" customFormat="1" x14ac:dyDescent="0.2">
      <c r="B185" s="217">
        <f>IF('ن-فرعي'!D296&gt;0,'ن-فرعي'!D296,"")</f>
        <v>26301016</v>
      </c>
      <c r="C185" s="20" t="str">
        <f>IF('ن-فرعي'!E296&gt;0,'ن-فرعي'!E296,"")</f>
        <v>أجهزة وتجهيزات وأثاث مبنى كلية الهندسة الجديد</v>
      </c>
      <c r="D185" s="225">
        <f>IF('ن-فرعي'!F296&gt;0,'ن-فرعي'!F296,"")</f>
        <v>350000</v>
      </c>
      <c r="E185" s="225">
        <f>IF('ن-فرعي'!G296&gt;0,'ن-فرعي'!G296,"")</f>
        <v>350000</v>
      </c>
      <c r="F185" s="225" t="str">
        <f>IF('ن-فرعي'!H296&gt;0,'ن-فرعي'!H296,"")</f>
        <v/>
      </c>
      <c r="G185" s="225" t="str">
        <f>IF('ن-فرعي'!I296&gt;0,'ن-فرعي'!I296,"")</f>
        <v/>
      </c>
      <c r="H185" s="148">
        <f>IF('ن-فرعي'!J296&gt;0,'ن-فرعي'!J296,"")</f>
        <v>5000</v>
      </c>
      <c r="I185" s="112">
        <f t="shared" si="28"/>
        <v>1.4285714285714285E-2</v>
      </c>
      <c r="J185" s="15"/>
    </row>
    <row r="186" spans="2:10" s="46" customFormat="1" x14ac:dyDescent="0.2">
      <c r="B186" s="217">
        <f>IF('ن-فرعي'!D297&gt;0,'ن-فرعي'!D297,"")</f>
        <v>26301019</v>
      </c>
      <c r="C186" s="20" t="str">
        <f>IF('ن-فرعي'!E297&gt;0,'ن-فرعي'!E297,"")</f>
        <v>أجهزة وتجهيزات وأثاث مبنى ملحق كلية التمريض الجديد</v>
      </c>
      <c r="D186" s="225">
        <f>IF('ن-فرعي'!F297&gt;0,'ن-فرعي'!F297,"")</f>
        <v>20000</v>
      </c>
      <c r="E186" s="225">
        <f>IF('ن-فرعي'!G297&gt;0,'ن-فرعي'!G297,"")</f>
        <v>20000</v>
      </c>
      <c r="F186" s="225" t="str">
        <f>IF('ن-فرعي'!H297&gt;0,'ن-فرعي'!H297,"")</f>
        <v/>
      </c>
      <c r="G186" s="225" t="str">
        <f>IF('ن-فرعي'!I297&gt;0,'ن-فرعي'!I297,"")</f>
        <v/>
      </c>
      <c r="H186" s="148">
        <f>IF('ن-فرعي'!J297&gt;0,'ن-فرعي'!J297,"")</f>
        <v>20000</v>
      </c>
      <c r="I186" s="112">
        <f t="shared" si="28"/>
        <v>1</v>
      </c>
      <c r="J186" s="15"/>
    </row>
    <row r="187" spans="2:10" x14ac:dyDescent="0.2">
      <c r="B187" s="217">
        <f>IF('ن-فرعي'!D300&gt;0,'ن-فرعي'!D300,"")</f>
        <v>26302001</v>
      </c>
      <c r="C187" s="20" t="str">
        <f>IF('ن-فرعي'!E300&gt;0,'ن-فرعي'!E300,"")</f>
        <v>أجهزة حاسوب وطابعات وملحقاتها</v>
      </c>
      <c r="D187" s="225">
        <f>IF('ن-فرعي'!F300&gt;0,'ن-فرعي'!F300,"")</f>
        <v>30000</v>
      </c>
      <c r="E187" s="225">
        <f>IF('ن-فرعي'!G300&gt;0,'ن-فرعي'!G300,"")</f>
        <v>30000</v>
      </c>
      <c r="F187" s="225">
        <f>IF('ن-فرعي'!H300&gt;0,'ن-فرعي'!H300,"")</f>
        <v>160</v>
      </c>
      <c r="G187" s="225">
        <f>IF('ن-فرعي'!I300&gt;0,'ن-فرعي'!I300,"")</f>
        <v>13200</v>
      </c>
      <c r="H187" s="148">
        <f>IF('ن-فرعي'!J300&gt;0,'ن-فرعي'!J300,"")</f>
        <v>15000</v>
      </c>
      <c r="I187" s="112">
        <f t="shared" si="28"/>
        <v>0.5</v>
      </c>
    </row>
    <row r="188" spans="2:10" x14ac:dyDescent="0.2">
      <c r="B188" s="217">
        <f>IF('ن-فرعي'!D301&gt;0,'ن-فرعي'!D301,"")</f>
        <v>26302004</v>
      </c>
      <c r="C188" s="20" t="str">
        <f>IF('ن-فرعي'!E301&gt;0,'ن-فرعي'!E301,"")</f>
        <v>أجهزة وتجهيزات ونفقات تشغيل محطة إذاعة الجامعة</v>
      </c>
      <c r="D188" s="225">
        <f>IF('ن-فرعي'!F301&gt;0,'ن-فرعي'!F301,"")</f>
        <v>25000</v>
      </c>
      <c r="E188" s="225">
        <f>IF('ن-فرعي'!G301&gt;0,'ن-فرعي'!G301,"")</f>
        <v>25000</v>
      </c>
      <c r="F188" s="225" t="str">
        <f>IF('ن-فرعي'!H301&gt;0,'ن-فرعي'!H301,"")</f>
        <v/>
      </c>
      <c r="G188" s="225" t="str">
        <f>IF('ن-فرعي'!I301&gt;0,'ن-فرعي'!I301,"")</f>
        <v/>
      </c>
      <c r="H188" s="148">
        <f>IF('ن-فرعي'!J301&gt;0,'ن-فرعي'!J301,"")</f>
        <v>1000</v>
      </c>
      <c r="I188" s="112">
        <f t="shared" si="28"/>
        <v>0.04</v>
      </c>
    </row>
    <row r="189" spans="2:10" x14ac:dyDescent="0.2">
      <c r="B189" s="217">
        <f>IF('ن-فرعي'!D302&gt;0,'ن-فرعي'!D302,"")</f>
        <v>26302005</v>
      </c>
      <c r="C189" s="20" t="str">
        <f>IF('ن-فرعي'!E302&gt;0,'ن-فرعي'!E302,"")</f>
        <v>أجهزة وتجهيزات خاصة بأنشطة عمادة شؤون الطلبة وصالات الرياضة</v>
      </c>
      <c r="D189" s="225">
        <f>IF('ن-فرعي'!F302&gt;0,'ن-فرعي'!F302,"")</f>
        <v>20000</v>
      </c>
      <c r="E189" s="225">
        <f>IF('ن-فرعي'!G302&gt;0,'ن-فرعي'!G302,"")</f>
        <v>20000</v>
      </c>
      <c r="F189" s="225">
        <f>IF('ن-فرعي'!H302&gt;0,'ن-فرعي'!H302,"")</f>
        <v>515</v>
      </c>
      <c r="G189" s="225">
        <f>IF('ن-فرعي'!I302&gt;0,'ن-فرعي'!I302,"")</f>
        <v>285</v>
      </c>
      <c r="H189" s="148">
        <f>IF('ن-فرعي'!J302&gt;0,'ن-فرعي'!J302,"")</f>
        <v>20000</v>
      </c>
      <c r="I189" s="112">
        <f t="shared" si="28"/>
        <v>1</v>
      </c>
    </row>
    <row r="190" spans="2:10" x14ac:dyDescent="0.2">
      <c r="B190" s="217">
        <f>IF('ن-فرعي'!D303&gt;0,'ن-فرعي'!D303,"")</f>
        <v>26302007</v>
      </c>
      <c r="C190" s="20" t="str">
        <f>IF('ن-فرعي'!E303&gt;0,'ن-فرعي'!E303,"")</f>
        <v>تجهيزات وأدوات رياضية خاصة بتخصص التربية البدنية</v>
      </c>
      <c r="D190" s="225">
        <f>IF('ن-فرعي'!F303&gt;0,'ن-فرعي'!F303,"")</f>
        <v>15000</v>
      </c>
      <c r="E190" s="225">
        <f>IF('ن-فرعي'!G303&gt;0,'ن-فرعي'!G303,"")</f>
        <v>15000</v>
      </c>
      <c r="F190" s="225" t="str">
        <f>IF('ن-فرعي'!H303&gt;0,'ن-فرعي'!H303,"")</f>
        <v/>
      </c>
      <c r="G190" s="225" t="str">
        <f>IF('ن-فرعي'!I303&gt;0,'ن-فرعي'!I303,"")</f>
        <v/>
      </c>
      <c r="H190" s="148">
        <f>IF('ن-فرعي'!J303&gt;0,'ن-فرعي'!J303,"")</f>
        <v>10000</v>
      </c>
      <c r="I190" s="112">
        <f t="shared" si="28"/>
        <v>0.66666666666666663</v>
      </c>
    </row>
    <row r="191" spans="2:10" s="46" customFormat="1" x14ac:dyDescent="0.2">
      <c r="B191" s="217">
        <f>IF('ن-فرعي'!D304&gt;0,'ن-فرعي'!D304,"")</f>
        <v>26302008</v>
      </c>
      <c r="C191" s="20" t="str">
        <f>IF('ن-فرعي'!E304&gt;0,'ن-فرعي'!E304,"")</f>
        <v>أجهزة وتجهيزات للمركز الصحي داخل الجامعة</v>
      </c>
      <c r="D191" s="225">
        <f>IF('ن-فرعي'!F304&gt;0,'ن-فرعي'!F304,"")</f>
        <v>15000</v>
      </c>
      <c r="E191" s="225">
        <f>IF('ن-فرعي'!G304&gt;0,'ن-فرعي'!G304,"")</f>
        <v>15000</v>
      </c>
      <c r="F191" s="225">
        <f>IF('ن-فرعي'!H304&gt;0,'ن-فرعي'!H304,"")</f>
        <v>3009.25</v>
      </c>
      <c r="G191" s="225">
        <f>IF('ن-فرعي'!I304&gt;0,'ن-فرعي'!I304,"")</f>
        <v>190.75</v>
      </c>
      <c r="H191" s="148">
        <f>IF('ن-فرعي'!J304&gt;0,'ن-فرعي'!J304,"")</f>
        <v>10000</v>
      </c>
      <c r="I191" s="112">
        <f t="shared" si="28"/>
        <v>0.66666666666666663</v>
      </c>
      <c r="J191" s="15"/>
    </row>
    <row r="192" spans="2:10" x14ac:dyDescent="0.2">
      <c r="B192" s="217">
        <f>IF('ن-فرعي'!D307&gt;0,'ن-فرعي'!D307,"")</f>
        <v>26303001</v>
      </c>
      <c r="C192" s="20" t="str">
        <f>IF('ن-فرعي'!E307&gt;0,'ن-فرعي'!E307,"")</f>
        <v>أجهزة وتجهيزات خاصة بسكن الطالبات</v>
      </c>
      <c r="D192" s="225">
        <f>IF('ن-فرعي'!F307&gt;0,'ن-فرعي'!F307,"")</f>
        <v>10000</v>
      </c>
      <c r="E192" s="225">
        <f>IF('ن-فرعي'!G307&gt;0,'ن-فرعي'!G307,"")</f>
        <v>10000</v>
      </c>
      <c r="F192" s="225" t="str">
        <f>IF('ن-فرعي'!H307&gt;0,'ن-فرعي'!H307,"")</f>
        <v/>
      </c>
      <c r="G192" s="225">
        <f>IF('ن-فرعي'!I307&gt;0,'ن-فرعي'!I307,"")</f>
        <v>1150</v>
      </c>
      <c r="H192" s="148">
        <f>IF('ن-فرعي'!J307&gt;0,'ن-فرعي'!J307,"")</f>
        <v>10000</v>
      </c>
      <c r="I192" s="112">
        <f t="shared" si="28"/>
        <v>1</v>
      </c>
    </row>
    <row r="193" spans="2:9" x14ac:dyDescent="0.2">
      <c r="B193" s="217">
        <f>IF('ن-فرعي'!D308&gt;0,'ن-فرعي'!D308,"")</f>
        <v>26303002</v>
      </c>
      <c r="C193" s="20" t="str">
        <f>IF('ن-فرعي'!E308&gt;0,'ن-فرعي'!E308,"")</f>
        <v>أجهزة وتجهيزات خاصة بقاعة استقبال وسكن الطبة الوافدين</v>
      </c>
      <c r="D193" s="225">
        <f>IF('ن-فرعي'!F308&gt;0,'ن-فرعي'!F308,"")</f>
        <v>3000</v>
      </c>
      <c r="E193" s="225">
        <f>IF('ن-فرعي'!G308&gt;0,'ن-فرعي'!G308,"")</f>
        <v>3000</v>
      </c>
      <c r="F193" s="225" t="str">
        <f>IF('ن-فرعي'!H308&gt;0,'ن-فرعي'!H308,"")</f>
        <v/>
      </c>
      <c r="G193" s="225" t="str">
        <f>IF('ن-فرعي'!I308&gt;0,'ن-فرعي'!I308,"")</f>
        <v/>
      </c>
      <c r="H193" s="148">
        <f>IF('ن-فرعي'!J308&gt;0,'ن-فرعي'!J308,"")</f>
        <v>4000</v>
      </c>
      <c r="I193" s="112">
        <f t="shared" si="28"/>
        <v>1.3333333333333333</v>
      </c>
    </row>
    <row r="194" spans="2:9" x14ac:dyDescent="0.2">
      <c r="B194" s="438" t="str">
        <f>'ن-فرعي'!B310</f>
        <v>مجموع الفصل الثاني: التجهيزات المكتبية والأثاث</v>
      </c>
      <c r="C194" s="439"/>
      <c r="D194" s="144">
        <f t="shared" ref="D194:G194" si="29">SUM(D181:D193)</f>
        <v>787000</v>
      </c>
      <c r="E194" s="144">
        <f>SUM(E181:E193)</f>
        <v>787000</v>
      </c>
      <c r="F194" s="144">
        <f t="shared" si="29"/>
        <v>6511.4480000000003</v>
      </c>
      <c r="G194" s="144">
        <f t="shared" si="29"/>
        <v>24227.252</v>
      </c>
      <c r="H194" s="144">
        <f>SUM(H181:H193)</f>
        <v>145000</v>
      </c>
      <c r="I194" s="112">
        <f t="shared" si="28"/>
        <v>0.18424396442185514</v>
      </c>
    </row>
    <row r="195" spans="2:9" x14ac:dyDescent="0.2">
      <c r="B195" s="468" t="str">
        <f>'ن-فرعي'!B311:K311</f>
        <v xml:space="preserve">الفصل الثالث: الآليات والأجهزة والمعدات </v>
      </c>
      <c r="C195" s="469"/>
      <c r="D195" s="469"/>
      <c r="E195" s="469"/>
      <c r="F195" s="469"/>
      <c r="G195" s="469"/>
      <c r="H195" s="469"/>
      <c r="I195" s="470"/>
    </row>
    <row r="196" spans="2:9" x14ac:dyDescent="0.2">
      <c r="B196" s="217">
        <f>IF('ن-فرعي'!D313&gt;0,'ن-فرعي'!D313,"")</f>
        <v>26401017</v>
      </c>
      <c r="C196" s="20" t="str">
        <f>IF('ن-فرعي'!E313&gt;0,'ن-فرعي'!E313,"")</f>
        <v>آليات ومركبات مختلفة</v>
      </c>
      <c r="D196" s="225">
        <f>IF('ن-فرعي'!F313&gt;0,'ن-فرعي'!F313,"")</f>
        <v>10000</v>
      </c>
      <c r="E196" s="225">
        <f>IF('ن-فرعي'!G313&gt;0,'ن-فرعي'!G313,"")</f>
        <v>10000</v>
      </c>
      <c r="F196" s="225" t="str">
        <f>IF('ن-فرعي'!H313&gt;0,'ن-فرعي'!H313,"")</f>
        <v/>
      </c>
      <c r="G196" s="225" t="str">
        <f>IF('ن-فرعي'!I313&gt;0,'ن-فرعي'!I313,"")</f>
        <v/>
      </c>
      <c r="H196" s="148">
        <f>IF('ن-فرعي'!J313&gt;0,'ن-فرعي'!J313,"")</f>
        <v>50000</v>
      </c>
      <c r="I196" s="112">
        <f t="shared" ref="I196:I206" si="30">IFERROR(H196/D196,"")</f>
        <v>5</v>
      </c>
    </row>
    <row r="197" spans="2:9" x14ac:dyDescent="0.2">
      <c r="B197" s="217">
        <f>IF('ن-فرعي'!D314&gt;0,'ن-فرعي'!D314,"")</f>
        <v>26401018</v>
      </c>
      <c r="C197" s="20" t="str">
        <f>IF('ن-فرعي'!E314&gt;0,'ن-فرعي'!E314,"")</f>
        <v xml:space="preserve">آليات زراعية  </v>
      </c>
      <c r="D197" s="225">
        <f>IF('ن-فرعي'!F314&gt;0,'ن-فرعي'!F314,"")</f>
        <v>15000</v>
      </c>
      <c r="E197" s="225">
        <f>IF('ن-فرعي'!G314&gt;0,'ن-فرعي'!G314,"")</f>
        <v>15000</v>
      </c>
      <c r="F197" s="225" t="str">
        <f>IF('ن-فرعي'!H314&gt;0,'ن-فرعي'!H314,"")</f>
        <v/>
      </c>
      <c r="G197" s="225" t="str">
        <f>IF('ن-فرعي'!I314&gt;0,'ن-فرعي'!I314,"")</f>
        <v/>
      </c>
      <c r="H197" s="148">
        <f>IF('ن-فرعي'!J314&gt;0,'ن-فرعي'!J314,"")</f>
        <v>15000</v>
      </c>
      <c r="I197" s="112">
        <f t="shared" si="30"/>
        <v>1</v>
      </c>
    </row>
    <row r="198" spans="2:9" x14ac:dyDescent="0.2">
      <c r="B198" s="217">
        <f>IF('ن-فرعي'!D317&gt;0,'ن-فرعي'!D317,"")</f>
        <v>26402001</v>
      </c>
      <c r="C198" s="20" t="str">
        <f>IF('ن-فرعي'!E317&gt;0,'ن-فرعي'!E317,"")</f>
        <v>اجهزة ومعدات خاصة بدائرة الهندسة والصيانة</v>
      </c>
      <c r="D198" s="225">
        <f>IF('ن-فرعي'!F317&gt;0,'ن-فرعي'!F317,"")</f>
        <v>80000</v>
      </c>
      <c r="E198" s="225">
        <f>IF('ن-فرعي'!G317&gt;0,'ن-فرعي'!G317,"")</f>
        <v>80000</v>
      </c>
      <c r="F198" s="225" t="str">
        <f>IF('ن-فرعي'!H317&gt;0,'ن-فرعي'!H317,"")</f>
        <v/>
      </c>
      <c r="G198" s="225" t="str">
        <f>IF('ن-فرعي'!I317&gt;0,'ن-فرعي'!I317,"")</f>
        <v/>
      </c>
      <c r="H198" s="148">
        <f>IF('ن-فرعي'!J317&gt;0,'ن-فرعي'!J317,"")</f>
        <v>10000</v>
      </c>
      <c r="I198" s="112">
        <f t="shared" si="30"/>
        <v>0.125</v>
      </c>
    </row>
    <row r="199" spans="2:9" x14ac:dyDescent="0.2">
      <c r="B199" s="217">
        <f>IF('ن-فرعي'!D318&gt;0,'ن-فرعي'!D318,"")</f>
        <v>26402002</v>
      </c>
      <c r="C199" s="20" t="str">
        <f>IF('ن-فرعي'!E318&gt;0,'ن-فرعي'!E318,"")</f>
        <v>أجهزة ومعدات خاصة بدائرة الإنتاج والتصنيع</v>
      </c>
      <c r="D199" s="225">
        <f>IF('ن-فرعي'!F318&gt;0,'ن-فرعي'!F318,"")</f>
        <v>15000</v>
      </c>
      <c r="E199" s="225">
        <f>IF('ن-فرعي'!G318&gt;0,'ن-فرعي'!G318,"")</f>
        <v>15000</v>
      </c>
      <c r="F199" s="225" t="str">
        <f>IF('ن-فرعي'!H318&gt;0,'ن-فرعي'!H318,"")</f>
        <v/>
      </c>
      <c r="G199" s="225" t="str">
        <f>IF('ن-فرعي'!I318&gt;0,'ن-فرعي'!I318,"")</f>
        <v/>
      </c>
      <c r="H199" s="148">
        <f>IF('ن-فرعي'!J318&gt;0,'ن-فرعي'!J318,"")</f>
        <v>20000</v>
      </c>
      <c r="I199" s="112">
        <f t="shared" si="30"/>
        <v>1.3333333333333333</v>
      </c>
    </row>
    <row r="200" spans="2:9" x14ac:dyDescent="0.2">
      <c r="B200" s="217">
        <f>IF('ن-فرعي'!D319&gt;0,'ن-فرعي'!D319,"")</f>
        <v>26402003</v>
      </c>
      <c r="C200" s="20" t="str">
        <f>IF('ن-فرعي'!E319&gt;0,'ن-فرعي'!E319,"")</f>
        <v>أجهزة ومعدات وماتورات خاصة بدائرة الزراعة</v>
      </c>
      <c r="D200" s="225">
        <f>IF('ن-فرعي'!F319&gt;0,'ن-فرعي'!F319,"")</f>
        <v>5000</v>
      </c>
      <c r="E200" s="225">
        <f>IF('ن-فرعي'!G319&gt;0,'ن-فرعي'!G319,"")</f>
        <v>5000</v>
      </c>
      <c r="F200" s="225">
        <f>IF('ن-فرعي'!H319&gt;0,'ن-فرعي'!H319,"")</f>
        <v>1098</v>
      </c>
      <c r="G200" s="225">
        <f>IF('ن-فرعي'!I319&gt;0,'ن-فرعي'!I319,"")</f>
        <v>1807</v>
      </c>
      <c r="H200" s="148">
        <f>IF('ن-فرعي'!J319&gt;0,'ن-فرعي'!J319,"")</f>
        <v>15000</v>
      </c>
      <c r="I200" s="112">
        <f t="shared" si="30"/>
        <v>3</v>
      </c>
    </row>
    <row r="201" spans="2:9" x14ac:dyDescent="0.2">
      <c r="B201" s="217">
        <f>IF('ن-فرعي'!D320&gt;0,'ن-فرعي'!D320,"")</f>
        <v>26402004</v>
      </c>
      <c r="C201" s="20" t="str">
        <f>IF('ن-فرعي'!E320&gt;0,'ن-فرعي'!E320,"")</f>
        <v>أجهزة ومعدات للنظافة العامة والوقاية الصحية والسلامة العامة</v>
      </c>
      <c r="D201" s="225">
        <f>IF('ن-فرعي'!F320&gt;0,'ن-فرعي'!F320,"")</f>
        <v>15000</v>
      </c>
      <c r="E201" s="225">
        <f>IF('ن-فرعي'!G320&gt;0,'ن-فرعي'!G320,"")</f>
        <v>15000</v>
      </c>
      <c r="F201" s="225" t="str">
        <f>IF('ن-فرعي'!H320&gt;0,'ن-فرعي'!H320,"")</f>
        <v/>
      </c>
      <c r="G201" s="225" t="str">
        <f>IF('ن-فرعي'!I320&gt;0,'ن-فرعي'!I320,"")</f>
        <v/>
      </c>
      <c r="H201" s="148">
        <f>IF('ن-فرعي'!J320&gt;0,'ن-فرعي'!J320,"")</f>
        <v>15000</v>
      </c>
      <c r="I201" s="112">
        <f t="shared" si="30"/>
        <v>1</v>
      </c>
    </row>
    <row r="202" spans="2:9" x14ac:dyDescent="0.2">
      <c r="B202" s="217">
        <f>IF('ن-فرعي'!D321&gt;0,'ن-فرعي'!D321,"")</f>
        <v>26402005</v>
      </c>
      <c r="C202" s="20" t="str">
        <f>IF('ن-فرعي'!E321&gt;0,'ن-فرعي'!E321,"")</f>
        <v>أجهزة ومعدات للمطبعة</v>
      </c>
      <c r="D202" s="225">
        <f>IF('ن-فرعي'!F321&gt;0,'ن-فرعي'!F321,"")</f>
        <v>7000</v>
      </c>
      <c r="E202" s="225">
        <f>IF('ن-فرعي'!G321&gt;0,'ن-فرعي'!G321,"")</f>
        <v>7000</v>
      </c>
      <c r="F202" s="225" t="str">
        <f>IF('ن-فرعي'!H321&gt;0,'ن-فرعي'!H321,"")</f>
        <v/>
      </c>
      <c r="G202" s="225" t="str">
        <f>IF('ن-فرعي'!I321&gt;0,'ن-فرعي'!I321,"")</f>
        <v/>
      </c>
      <c r="H202" s="148">
        <f>IF('ن-فرعي'!J321&gt;0,'ن-فرعي'!J321,"")</f>
        <v>5000</v>
      </c>
      <c r="I202" s="112">
        <f t="shared" si="30"/>
        <v>0.7142857142857143</v>
      </c>
    </row>
    <row r="203" spans="2:9" x14ac:dyDescent="0.2">
      <c r="B203" s="217">
        <f>IF('ن-فرعي'!D322&gt;0,'ن-فرعي'!D322,"")</f>
        <v>26402006</v>
      </c>
      <c r="C203" s="20" t="str">
        <f>IF('ن-فرعي'!E322&gt;0,'ن-فرعي'!E322,"")</f>
        <v>أجهزة ومعدات وأنظمة الأمن والرقابة والحماية والإنذار</v>
      </c>
      <c r="D203" s="225">
        <f>IF('ن-فرعي'!F322&gt;0,'ن-فرعي'!F322,"")</f>
        <v>15000</v>
      </c>
      <c r="E203" s="225">
        <f>IF('ن-فرعي'!G322&gt;0,'ن-فرعي'!G322,"")</f>
        <v>15000</v>
      </c>
      <c r="F203" s="225" t="str">
        <f>IF('ن-فرعي'!H322&gt;0,'ن-فرعي'!H322,"")</f>
        <v/>
      </c>
      <c r="G203" s="225" t="str">
        <f>IF('ن-فرعي'!I322&gt;0,'ن-فرعي'!I322,"")</f>
        <v/>
      </c>
      <c r="H203" s="148">
        <f>IF('ن-فرعي'!J322&gt;0,'ن-فرعي'!J322,"")</f>
        <v>20000</v>
      </c>
      <c r="I203" s="112">
        <f t="shared" si="30"/>
        <v>1.3333333333333333</v>
      </c>
    </row>
    <row r="204" spans="2:9" x14ac:dyDescent="0.2">
      <c r="B204" s="217">
        <f>IF('ن-فرعي'!D325&gt;0,'ن-فرعي'!D325,"")</f>
        <v>26404001</v>
      </c>
      <c r="C204" s="20" t="str">
        <f>IF('ن-فرعي'!E325&gt;0,'ن-فرعي'!E325,"")</f>
        <v>مواد أولية حاجة دائرة الهندسة والصيانة</v>
      </c>
      <c r="D204" s="225">
        <f>IF('ن-فرعي'!F325&gt;0,'ن-فرعي'!F325,"")</f>
        <v>30000</v>
      </c>
      <c r="E204" s="225">
        <f>IF('ن-فرعي'!G325&gt;0,'ن-فرعي'!G325,"")</f>
        <v>30000</v>
      </c>
      <c r="F204" s="225" t="str">
        <f>IF('ن-فرعي'!H325&gt;0,'ن-فرعي'!H325,"")</f>
        <v/>
      </c>
      <c r="G204" s="225" t="str">
        <f>IF('ن-فرعي'!I325&gt;0,'ن-فرعي'!I325,"")</f>
        <v/>
      </c>
      <c r="H204" s="148">
        <f>IF('ن-فرعي'!J325&gt;0,'ن-فرعي'!J325,"")</f>
        <v>20000</v>
      </c>
      <c r="I204" s="112">
        <f t="shared" si="30"/>
        <v>0.66666666666666663</v>
      </c>
    </row>
    <row r="205" spans="2:9" x14ac:dyDescent="0.2">
      <c r="B205" s="217">
        <f>IF('ن-فرعي'!D326&gt;0,'ن-فرعي'!D326,"")</f>
        <v>26404002</v>
      </c>
      <c r="C205" s="20" t="str">
        <f>IF('ن-فرعي'!E326&gt;0,'ن-فرعي'!E326,"")</f>
        <v>مواد أولية حاجة دائرة الإنتاج والتصنيع</v>
      </c>
      <c r="D205" s="225">
        <f>IF('ن-فرعي'!F326&gt;0,'ن-فرعي'!F326,"")</f>
        <v>25000</v>
      </c>
      <c r="E205" s="225">
        <f>IF('ن-فرعي'!G326&gt;0,'ن-فرعي'!G326,"")</f>
        <v>25000</v>
      </c>
      <c r="F205" s="225">
        <f>IF('ن-فرعي'!H326&gt;0,'ن-فرعي'!H326,"")</f>
        <v>3451.2339999999999</v>
      </c>
      <c r="G205" s="225">
        <f>IF('ن-فرعي'!I326&gt;0,'ن-فرعي'!I326,"")</f>
        <v>2793.7660000000001</v>
      </c>
      <c r="H205" s="148">
        <f>IF('ن-فرعي'!J326&gt;0,'ن-فرعي'!J326,"")</f>
        <v>30000</v>
      </c>
      <c r="I205" s="112">
        <f t="shared" si="30"/>
        <v>1.2</v>
      </c>
    </row>
    <row r="206" spans="2:9" x14ac:dyDescent="0.2">
      <c r="B206" s="438" t="str">
        <f>'ن-فرعي'!B328</f>
        <v xml:space="preserve">مجموع الفصل الثالث: الآليات والأجهزة والمعدات </v>
      </c>
      <c r="C206" s="439"/>
      <c r="D206" s="144">
        <f>SUM(D196:D205)</f>
        <v>217000</v>
      </c>
      <c r="E206" s="144">
        <f>SUM(E196:E205)</f>
        <v>217000</v>
      </c>
      <c r="F206" s="144">
        <f t="shared" ref="F206:G206" si="31">SUM(F196:F205)</f>
        <v>4549.2340000000004</v>
      </c>
      <c r="G206" s="144">
        <f t="shared" si="31"/>
        <v>4600.7659999999996</v>
      </c>
      <c r="H206" s="144">
        <f>SUM(H196:H205)</f>
        <v>200000</v>
      </c>
      <c r="I206" s="112">
        <f t="shared" si="30"/>
        <v>0.92165898617511521</v>
      </c>
    </row>
    <row r="207" spans="2:9" x14ac:dyDescent="0.2">
      <c r="B207" s="468" t="str">
        <f>'ن-فرعي'!B329:K329</f>
        <v>الفصل الرابع: الأبنية والمشاريع الإنمائية</v>
      </c>
      <c r="C207" s="469"/>
      <c r="D207" s="469"/>
      <c r="E207" s="469"/>
      <c r="F207" s="469"/>
      <c r="G207" s="469"/>
      <c r="H207" s="469"/>
      <c r="I207" s="470"/>
    </row>
    <row r="208" spans="2:9" x14ac:dyDescent="0.2">
      <c r="B208" s="217">
        <f>IF('ن-فرعي'!D331&gt;0,'ن-فرعي'!D331,"")</f>
        <v>26501001</v>
      </c>
      <c r="C208" s="20" t="str">
        <f>IF('ن-فرعي'!E331&gt;0,'ن-فرعي'!E331,"")</f>
        <v>مبنى كلية الهندسة</v>
      </c>
      <c r="D208" s="225">
        <f>IF('ن-فرعي'!F331&gt;0,'ن-فرعي'!F331,"")</f>
        <v>500000</v>
      </c>
      <c r="E208" s="225">
        <f>IF('ن-فرعي'!G331&gt;0,'ن-فرعي'!G331,"")</f>
        <v>500000</v>
      </c>
      <c r="F208" s="225">
        <f>IF('ن-فرعي'!H331&gt;0,'ن-فرعي'!H331,"")</f>
        <v>208252.05100000001</v>
      </c>
      <c r="G208" s="225">
        <f>IF('ن-فرعي'!I331&gt;0,'ن-فرعي'!I331,"")</f>
        <v>120879.181</v>
      </c>
      <c r="H208" s="148">
        <f>IF('ن-فرعي'!J331&gt;0,'ن-فرعي'!J331,"")</f>
        <v>150000</v>
      </c>
      <c r="I208" s="112">
        <f>IFERROR(H208/D208,"")</f>
        <v>0.3</v>
      </c>
    </row>
    <row r="209" spans="2:10" x14ac:dyDescent="0.2">
      <c r="B209" s="217">
        <f>IF('ن-فرعي'!D332&gt;0,'ن-فرعي'!D332,"")</f>
        <v>26501002</v>
      </c>
      <c r="C209" s="20" t="str">
        <f>IF('ن-فرعي'!E332&gt;0,'ن-فرعي'!E332,"")</f>
        <v>مبنى كلية إدارة المال والأعمال</v>
      </c>
      <c r="D209" s="225">
        <f>IF('ن-فرعي'!F332&gt;0,'ن-فرعي'!F332,"")</f>
        <v>350000</v>
      </c>
      <c r="E209" s="225">
        <f>IF('ن-فرعي'!G332&gt;0,'ن-فرعي'!G332,"")</f>
        <v>350000</v>
      </c>
      <c r="F209" s="225">
        <f>IF('ن-فرعي'!H332&gt;0,'ن-فرعي'!H332,"")</f>
        <v>207597.429</v>
      </c>
      <c r="G209" s="225">
        <f>IF('ن-فرعي'!I332&gt;0,'ن-فرعي'!I332,"")</f>
        <v>6270.2879999999996</v>
      </c>
      <c r="H209" s="148">
        <f>IF('ن-فرعي'!J332&gt;0,'ن-فرعي'!J332,"")</f>
        <v>150000</v>
      </c>
      <c r="I209" s="112">
        <f>IFERROR(H209/D209,"")</f>
        <v>0.42857142857142855</v>
      </c>
    </row>
    <row r="210" spans="2:10" s="46" customFormat="1" x14ac:dyDescent="0.2">
      <c r="B210" s="217">
        <f>IF('ن-فرعي'!D335&gt;0,'ن-فرعي'!D335,"")</f>
        <v>26505001</v>
      </c>
      <c r="C210" s="20" t="str">
        <f>IF('ن-فرعي'!E335&gt;0,'ن-فرعي'!E335,"")</f>
        <v>إعداد المخططات الأولية لمشاريع وأبنية مستقبلية وأجهزة للمرسم الهندسي</v>
      </c>
      <c r="D210" s="225">
        <f>IF('ن-فرعي'!F335&gt;0,'ن-فرعي'!F335,"")</f>
        <v>10000</v>
      </c>
      <c r="E210" s="225">
        <f>IF('ن-فرعي'!G335&gt;0,'ن-فرعي'!G335,"")</f>
        <v>10000</v>
      </c>
      <c r="F210" s="225">
        <f>IF('ن-فرعي'!H335&gt;0,'ن-فرعي'!H335,"")</f>
        <v>220</v>
      </c>
      <c r="G210" s="225" t="str">
        <f>IF('ن-فرعي'!I335&gt;0,'ن-فرعي'!I335,"")</f>
        <v/>
      </c>
      <c r="H210" s="148">
        <f>IF('ن-فرعي'!J335&gt;0,'ن-فرعي'!J335,"")</f>
        <v>15000</v>
      </c>
      <c r="I210" s="112">
        <f>IFERROR(H210/D210,"")</f>
        <v>1.5</v>
      </c>
      <c r="J210" s="15"/>
    </row>
    <row r="211" spans="2:10" x14ac:dyDescent="0.2">
      <c r="B211" s="438" t="str">
        <f>'ن-فرعي'!B337</f>
        <v>مجموع الفصل الرابع: الأبنية والمشاريع الإنمائية</v>
      </c>
      <c r="C211" s="439"/>
      <c r="D211" s="144">
        <f t="shared" ref="D211:H211" si="32">SUM(D208:D210)</f>
        <v>860000</v>
      </c>
      <c r="E211" s="144">
        <f>SUM(E208:E210)</f>
        <v>860000</v>
      </c>
      <c r="F211" s="144">
        <f t="shared" si="32"/>
        <v>416069.48</v>
      </c>
      <c r="G211" s="144">
        <f t="shared" si="32"/>
        <v>127149.469</v>
      </c>
      <c r="H211" s="144">
        <f t="shared" si="32"/>
        <v>315000</v>
      </c>
      <c r="I211" s="112">
        <f>IFERROR(H211/D211,"")</f>
        <v>0.36627906976744184</v>
      </c>
    </row>
    <row r="212" spans="2:10" x14ac:dyDescent="0.2">
      <c r="B212" s="468" t="str">
        <f>'ن-فرعي'!B338:K338</f>
        <v xml:space="preserve">الفصل الخامس: الأشغال والمرافق العامة </v>
      </c>
      <c r="C212" s="469"/>
      <c r="D212" s="469"/>
      <c r="E212" s="469"/>
      <c r="F212" s="469"/>
      <c r="G212" s="469"/>
      <c r="H212" s="469"/>
      <c r="I212" s="470"/>
    </row>
    <row r="213" spans="2:10" x14ac:dyDescent="0.2">
      <c r="B213" s="219">
        <f>IF('ن-فرعي'!D340&gt;0,'ن-فرعي'!D340,"")</f>
        <v>26601031</v>
      </c>
      <c r="C213" s="128" t="str">
        <f>IF('ن-فرعي'!E340&gt;0,'ن-فرعي'!E340,"")</f>
        <v>مشروع تغطية المسبح الاولمبي</v>
      </c>
      <c r="D213" s="249">
        <f>IF('ن-فرعي'!F340&gt;0,'ن-فرعي'!F340,"")</f>
        <v>10000</v>
      </c>
      <c r="E213" s="249">
        <f>IF('ن-فرعي'!G340&gt;0,'ن-فرعي'!G340,"")</f>
        <v>10000</v>
      </c>
      <c r="F213" s="249" t="str">
        <f>IF('ن-فرعي'!H340&gt;0,'ن-فرعي'!H340,"")</f>
        <v/>
      </c>
      <c r="G213" s="249" t="str">
        <f>IF('ن-فرعي'!I340&gt;0,'ن-فرعي'!I340,"")</f>
        <v/>
      </c>
      <c r="H213" s="148" t="str">
        <f>IF('ن-فرعي'!J340&gt;0,'ن-فرعي'!J340,"")</f>
        <v/>
      </c>
      <c r="I213" s="112" t="str">
        <f t="shared" ref="I213:I222" si="33">IFERROR(H213/D213,"")</f>
        <v/>
      </c>
    </row>
    <row r="214" spans="2:10" x14ac:dyDescent="0.2">
      <c r="B214" s="217">
        <f>IF('ن-فرعي'!D341&gt;0,'ن-فرعي'!D341,"")</f>
        <v>26601068</v>
      </c>
      <c r="C214" s="20" t="str">
        <f>IF('ن-فرعي'!E341&gt;0,'ن-فرعي'!E341,"")</f>
        <v>مشروع تنجيل ملعب كرة القدم ومضمار ألعاب القوى</v>
      </c>
      <c r="D214" s="225">
        <f>IF('ن-فرعي'!F341&gt;0,'ن-فرعي'!F341,"")</f>
        <v>50000</v>
      </c>
      <c r="E214" s="225">
        <f>IF('ن-فرعي'!G341&gt;0,'ن-فرعي'!G341,"")</f>
        <v>50000</v>
      </c>
      <c r="F214" s="225" t="str">
        <f>IF('ن-فرعي'!H341&gt;0,'ن-فرعي'!H341,"")</f>
        <v/>
      </c>
      <c r="G214" s="225" t="str">
        <f>IF('ن-فرعي'!I341&gt;0,'ن-فرعي'!I341,"")</f>
        <v/>
      </c>
      <c r="H214" s="148">
        <f>IF('ن-فرعي'!J341&gt;0,'ن-فرعي'!J341,"")</f>
        <v>50000</v>
      </c>
      <c r="I214" s="112">
        <f t="shared" si="33"/>
        <v>1</v>
      </c>
    </row>
    <row r="215" spans="2:10" x14ac:dyDescent="0.2">
      <c r="B215" s="217">
        <f>IF('ن-فرعي'!D344&gt;0,'ن-فرعي'!D344,"")</f>
        <v>26602001</v>
      </c>
      <c r="C215" s="20" t="str">
        <f>IF('ن-فرعي'!E344&gt;0,'ن-فرعي'!E344,"")</f>
        <v>حفر بئر داخل الحرم الجامعي</v>
      </c>
      <c r="D215" s="225">
        <f>IF('ن-فرعي'!F344&gt;0,'ن-فرعي'!F344,"")</f>
        <v>150000</v>
      </c>
      <c r="E215" s="225">
        <f>IF('ن-فرعي'!G344&gt;0,'ن-فرعي'!G344,"")</f>
        <v>150000</v>
      </c>
      <c r="F215" s="225" t="str">
        <f>IF('ن-فرعي'!H344&gt;0,'ن-فرعي'!H344,"")</f>
        <v/>
      </c>
      <c r="G215" s="225" t="str">
        <f>IF('ن-فرعي'!I344&gt;0,'ن-فرعي'!I344,"")</f>
        <v/>
      </c>
      <c r="H215" s="148">
        <f>IF('ن-فرعي'!J344&gt;0,'ن-فرعي'!J344,"")</f>
        <v>150000</v>
      </c>
      <c r="I215" s="112">
        <f t="shared" si="33"/>
        <v>1</v>
      </c>
    </row>
    <row r="216" spans="2:10" x14ac:dyDescent="0.2">
      <c r="B216" s="217">
        <f>IF('ن-فرعي'!D345&gt;0,'ن-فرعي'!D345,"")</f>
        <v>26602004</v>
      </c>
      <c r="C216" s="20" t="str">
        <f>IF('ن-فرعي'!E345&gt;0,'ن-فرعي'!E345,"")</f>
        <v xml:space="preserve">خطوط مياه الري والشرب </v>
      </c>
      <c r="D216" s="225">
        <f>IF('ن-فرعي'!F345&gt;0,'ن-فرعي'!F345,"")</f>
        <v>10000</v>
      </c>
      <c r="E216" s="225">
        <f>IF('ن-فرعي'!G345&gt;0,'ن-فرعي'!G345,"")</f>
        <v>10000</v>
      </c>
      <c r="F216" s="225">
        <f>IF('ن-فرعي'!H345&gt;0,'ن-فرعي'!H345,"")</f>
        <v>3750</v>
      </c>
      <c r="G216" s="225">
        <f>IF('ن-فرعي'!I345&gt;0,'ن-فرعي'!I345,"")</f>
        <v>2650</v>
      </c>
      <c r="H216" s="148">
        <f>IF('ن-فرعي'!J345&gt;0,'ن-فرعي'!J345,"")</f>
        <v>10000</v>
      </c>
      <c r="I216" s="112">
        <f t="shared" si="33"/>
        <v>1</v>
      </c>
    </row>
    <row r="217" spans="2:10" x14ac:dyDescent="0.2">
      <c r="B217" s="217">
        <f>IF('ن-فرعي'!D346&gt;0,'ن-فرعي'!D346,"")</f>
        <v>26602005</v>
      </c>
      <c r="C217" s="20" t="str">
        <f>IF('ن-فرعي'!E346&gt;0,'ن-فرعي'!E346,"")</f>
        <v>تطوير بركة الحصاد المائي (أجهزة ومعدات)</v>
      </c>
      <c r="D217" s="225">
        <f>IF('ن-فرعي'!F346&gt;0,'ن-فرعي'!F346,"")</f>
        <v>10000</v>
      </c>
      <c r="E217" s="225">
        <f>IF('ن-فرعي'!G346&gt;0,'ن-فرعي'!G346,"")</f>
        <v>10000</v>
      </c>
      <c r="F217" s="225" t="str">
        <f>IF('ن-فرعي'!H346&gt;0,'ن-فرعي'!H346,"")</f>
        <v/>
      </c>
      <c r="G217" s="225" t="str">
        <f>IF('ن-فرعي'!I346&gt;0,'ن-فرعي'!I346,"")</f>
        <v/>
      </c>
      <c r="H217" s="148">
        <f>IF('ن-فرعي'!J346&gt;0,'ن-فرعي'!J346,"")</f>
        <v>10000</v>
      </c>
      <c r="I217" s="112">
        <f t="shared" si="33"/>
        <v>1</v>
      </c>
    </row>
    <row r="218" spans="2:10" x14ac:dyDescent="0.2">
      <c r="B218" s="217">
        <f>IF('ن-فرعي'!D347&gt;0,'ن-فرعي'!D347,"")</f>
        <v>26602006</v>
      </c>
      <c r="C218" s="20" t="str">
        <f>IF('ن-فرعي'!E347&gt;0,'ن-فرعي'!E347,"")</f>
        <v>تطوير محطة التنقية (أجهزة ومعدات)</v>
      </c>
      <c r="D218" s="225">
        <f>IF('ن-فرعي'!F347&gt;0,'ن-فرعي'!F347,"")</f>
        <v>20000</v>
      </c>
      <c r="E218" s="225">
        <f>IF('ن-فرعي'!G347&gt;0,'ن-فرعي'!G347,"")</f>
        <v>20000</v>
      </c>
      <c r="F218" s="225" t="str">
        <f>IF('ن-فرعي'!H347&gt;0,'ن-فرعي'!H347,"")</f>
        <v/>
      </c>
      <c r="G218" s="225">
        <f>IF('ن-فرعي'!I347&gt;0,'ن-فرعي'!I347,"")</f>
        <v>500</v>
      </c>
      <c r="H218" s="148">
        <f>IF('ن-فرعي'!J347&gt;0,'ن-فرعي'!J347,"")</f>
        <v>20000</v>
      </c>
      <c r="I218" s="112">
        <f t="shared" si="33"/>
        <v>1</v>
      </c>
    </row>
    <row r="219" spans="2:10" x14ac:dyDescent="0.2">
      <c r="B219" s="217">
        <f>IF('ن-فرعي'!D348&gt;0,'ن-فرعي'!D348,"")</f>
        <v>26602007</v>
      </c>
      <c r="C219" s="20" t="str">
        <f>IF('ن-فرعي'!E348&gt;0,'ن-فرعي'!E348,"")</f>
        <v>أشتال زراعية لتجميل الحرم الجامعي وحاجة مشتل نباتات الزينة</v>
      </c>
      <c r="D219" s="225">
        <f>IF('ن-فرعي'!F348&gt;0,'ن-فرعي'!F348,"")</f>
        <v>3000</v>
      </c>
      <c r="E219" s="225">
        <f>IF('ن-فرعي'!G348&gt;0,'ن-فرعي'!G348,"")</f>
        <v>3000</v>
      </c>
      <c r="F219" s="225" t="str">
        <f>IF('ن-فرعي'!H348&gt;0,'ن-فرعي'!H348,"")</f>
        <v/>
      </c>
      <c r="G219" s="225" t="str">
        <f>IF('ن-فرعي'!I348&gt;0,'ن-فرعي'!I348,"")</f>
        <v/>
      </c>
      <c r="H219" s="148">
        <f>IF('ن-فرعي'!J348&gt;0,'ن-فرعي'!J348,"")</f>
        <v>5000</v>
      </c>
      <c r="I219" s="112">
        <f t="shared" si="33"/>
        <v>1.6666666666666667</v>
      </c>
    </row>
    <row r="220" spans="2:10" s="46" customFormat="1" x14ac:dyDescent="0.2">
      <c r="B220" s="218" t="str">
        <f>IF('ن-فرعي'!D349&gt;0,'ن-فرعي'!D349,"")</f>
        <v/>
      </c>
      <c r="C220" s="64" t="str">
        <f>IF('ن-فرعي'!E349&gt;0,'ن-فرعي'!E349,"")</f>
        <v>انشاء محطة تحلية وتعقيم  للمياه</v>
      </c>
      <c r="D220" s="249" t="str">
        <f>IF('ن-فرعي'!F349&gt;0,'ن-فرعي'!F349,"")</f>
        <v/>
      </c>
      <c r="E220" s="249" t="str">
        <f>IF('ن-فرعي'!G349&gt;0,'ن-فرعي'!G349,"")</f>
        <v/>
      </c>
      <c r="F220" s="249" t="str">
        <f>IF('ن-فرعي'!H349&gt;0,'ن-فرعي'!H349,"")</f>
        <v/>
      </c>
      <c r="G220" s="249" t="str">
        <f>IF('ن-فرعي'!I349&gt;0,'ن-فرعي'!I349,"")</f>
        <v/>
      </c>
      <c r="H220" s="148">
        <f>IF('ن-فرعي'!J349&gt;0,'ن-فرعي'!J349,"")</f>
        <v>30000</v>
      </c>
      <c r="I220" s="112" t="str">
        <f t="shared" si="33"/>
        <v/>
      </c>
      <c r="J220" s="15"/>
    </row>
    <row r="221" spans="2:10" x14ac:dyDescent="0.2">
      <c r="B221" s="217">
        <f>IF('ن-فرعي'!D352&gt;0,'ن-فرعي'!D352,"")</f>
        <v>26603002</v>
      </c>
      <c r="C221" s="20" t="str">
        <f>IF('ن-فرعي'!E352&gt;0,'ن-فرعي'!E352,"")</f>
        <v>تطوير وتوسعة البنية التحتية (طرق وأرصفة وساحات وأعمال مختلفة)</v>
      </c>
      <c r="D221" s="225">
        <f>IF('ن-فرعي'!F352&gt;0,'ن-فرعي'!F352,"")</f>
        <v>50000</v>
      </c>
      <c r="E221" s="225">
        <f>IF('ن-فرعي'!G352&gt;0,'ن-فرعي'!G352,"")</f>
        <v>50000</v>
      </c>
      <c r="F221" s="225">
        <f>IF('ن-فرعي'!H352&gt;0,'ن-فرعي'!H352,"")</f>
        <v>3112.5</v>
      </c>
      <c r="G221" s="225">
        <f>IF('ن-فرعي'!I352&gt;0,'ن-فرعي'!I352,"")</f>
        <v>487.5</v>
      </c>
      <c r="H221" s="148">
        <f>IF('ن-فرعي'!J352&gt;0,'ن-فرعي'!J352,"")</f>
        <v>40000</v>
      </c>
      <c r="I221" s="112">
        <f t="shared" si="33"/>
        <v>0.8</v>
      </c>
    </row>
    <row r="222" spans="2:10" x14ac:dyDescent="0.2">
      <c r="B222" s="438" t="str">
        <f>'ن-فرعي'!B354</f>
        <v>مجموع الفصل الخامس: الأشغال والمرافق العامة</v>
      </c>
      <c r="C222" s="439"/>
      <c r="D222" s="144">
        <f>SUM(D213:D221)</f>
        <v>303000</v>
      </c>
      <c r="E222" s="144">
        <f>SUM(E213:E221)</f>
        <v>303000</v>
      </c>
      <c r="F222" s="144">
        <f t="shared" ref="F222:G222" si="34">SUM(F213:F221)</f>
        <v>6862.5</v>
      </c>
      <c r="G222" s="144">
        <f t="shared" si="34"/>
        <v>3637.5</v>
      </c>
      <c r="H222" s="144">
        <f>SUM(H213:H221)</f>
        <v>315000</v>
      </c>
      <c r="I222" s="112">
        <f t="shared" si="33"/>
        <v>1.0396039603960396</v>
      </c>
    </row>
    <row r="223" spans="2:10" x14ac:dyDescent="0.2">
      <c r="B223" s="468" t="str">
        <f>'ن-فرعي'!B355:K355</f>
        <v>الفصل السادس: نفقات الالتزامات الرأسمالية المدورة</v>
      </c>
      <c r="C223" s="469"/>
      <c r="D223" s="469"/>
      <c r="E223" s="469"/>
      <c r="F223" s="469"/>
      <c r="G223" s="469"/>
      <c r="H223" s="469"/>
      <c r="I223" s="470"/>
    </row>
    <row r="224" spans="2:10" x14ac:dyDescent="0.2">
      <c r="B224" s="217">
        <f>IF('ن-فرعي'!D357&gt;0,'ن-فرعي'!D357,"")</f>
        <v>27001001</v>
      </c>
      <c r="C224" s="20" t="str">
        <f>IF('ن-فرعي'!E357&gt;0,'ن-فرعي'!E357,"")</f>
        <v>التزامات نفقات رأسمالية مدورة / حجوزات من سنوات سابقة</v>
      </c>
      <c r="D224" s="225">
        <f>IF('ن-فرعي'!F357&gt;0,'ن-فرعي'!F357,"")</f>
        <v>1450000</v>
      </c>
      <c r="E224" s="225">
        <f>IF('ن-فرعي'!G357&gt;0,'ن-فرعي'!G357,"")</f>
        <v>1450000</v>
      </c>
      <c r="F224" s="225">
        <f>IF('ن-فرعي'!H357&gt;0,'ن-فرعي'!H357,"")</f>
        <v>430561.71399999998</v>
      </c>
      <c r="G224" s="225">
        <f>IF('ن-فرعي'!I357&gt;0,'ن-فرعي'!I357,"")</f>
        <v>578981.00300000003</v>
      </c>
      <c r="H224" s="148">
        <f>IF('ن-فرعي'!J357&gt;0,'ن-فرعي'!J357,"")</f>
        <v>884000</v>
      </c>
      <c r="I224" s="112">
        <f>IFERROR(H224/D224,"")</f>
        <v>0.60965517241379308</v>
      </c>
    </row>
    <row r="225" spans="2:11" x14ac:dyDescent="0.2">
      <c r="B225" s="438" t="str">
        <f>'ن-فرعي'!B359</f>
        <v>مجموع الفصل السادس: نفقات الالتزامات الرأسمالية المدورة</v>
      </c>
      <c r="C225" s="439"/>
      <c r="D225" s="144">
        <f>SUM(D224)</f>
        <v>1450000</v>
      </c>
      <c r="E225" s="144">
        <f t="shared" ref="E225:H225" si="35">SUM(E224)</f>
        <v>1450000</v>
      </c>
      <c r="F225" s="144">
        <f t="shared" si="35"/>
        <v>430561.71399999998</v>
      </c>
      <c r="G225" s="144">
        <f t="shared" si="35"/>
        <v>578981.00300000003</v>
      </c>
      <c r="H225" s="144">
        <f t="shared" si="35"/>
        <v>884000</v>
      </c>
      <c r="I225" s="112">
        <f>IFERROR(H225/D225,"")</f>
        <v>0.60965517241379308</v>
      </c>
    </row>
    <row r="226" spans="2:11" x14ac:dyDescent="0.2">
      <c r="B226" s="482" t="str">
        <f>'ن-فرعي'!B360</f>
        <v>مجموع الباب الرابع: النفقات الرأسمالية</v>
      </c>
      <c r="C226" s="483"/>
      <c r="D226" s="138">
        <f t="shared" ref="D226:H226" si="36">D179+D194+D206+D211+D222+D225</f>
        <v>3838000</v>
      </c>
      <c r="E226" s="138">
        <f t="shared" si="36"/>
        <v>3838000</v>
      </c>
      <c r="F226" s="138">
        <f t="shared" si="36"/>
        <v>866403.81400000001</v>
      </c>
      <c r="G226" s="138">
        <f t="shared" si="36"/>
        <v>786795.99</v>
      </c>
      <c r="H226" s="138">
        <f t="shared" si="36"/>
        <v>2193500</v>
      </c>
      <c r="I226" s="112">
        <f>IFERROR(H226/D226,"")</f>
        <v>0.57152162584679522</v>
      </c>
    </row>
    <row r="227" spans="2:11" x14ac:dyDescent="0.2">
      <c r="B227" s="490" t="str">
        <f>'ن-فرعي'!B361:E361</f>
        <v>المجموع العام للموازنة</v>
      </c>
      <c r="C227" s="491"/>
      <c r="D227" s="192">
        <f t="shared" ref="D227:H227" si="37">D123+D164+D170+D226</f>
        <v>36380000</v>
      </c>
      <c r="E227" s="192">
        <f t="shared" si="37"/>
        <v>37162000</v>
      </c>
      <c r="F227" s="192">
        <f t="shared" si="37"/>
        <v>30655530.927999999</v>
      </c>
      <c r="G227" s="192">
        <f t="shared" si="37"/>
        <v>2310354.9510000004</v>
      </c>
      <c r="H227" s="192">
        <f t="shared" si="37"/>
        <v>35724000</v>
      </c>
      <c r="I227" s="112">
        <f>IFERROR(H227/D227,"")</f>
        <v>0.98196811434854314</v>
      </c>
    </row>
    <row r="228" spans="2:11" s="15" customFormat="1" x14ac:dyDescent="0.2">
      <c r="B228" s="430"/>
      <c r="C228" s="431"/>
      <c r="D228" s="431"/>
      <c r="E228" s="431"/>
      <c r="F228" s="431"/>
      <c r="G228" s="431"/>
      <c r="H228" s="431"/>
      <c r="I228" s="489"/>
    </row>
    <row r="229" spans="2:11" s="15" customFormat="1" x14ac:dyDescent="0.2">
      <c r="B229" s="430" t="s">
        <v>599</v>
      </c>
      <c r="C229" s="431"/>
      <c r="D229" s="419">
        <v>2019</v>
      </c>
      <c r="E229" s="419"/>
      <c r="F229" s="419"/>
      <c r="G229" s="419"/>
      <c r="H229" s="420">
        <v>2020</v>
      </c>
      <c r="I229" s="421"/>
    </row>
    <row r="230" spans="2:11" x14ac:dyDescent="0.2">
      <c r="B230" s="407" t="str">
        <f>'ن-فرعي'!B364:K364</f>
        <v>الباب الأول: الاستخدامات</v>
      </c>
      <c r="C230" s="408"/>
      <c r="D230" s="408"/>
      <c r="E230" s="408"/>
      <c r="F230" s="408"/>
      <c r="G230" s="408"/>
      <c r="H230" s="408"/>
      <c r="I230" s="409"/>
    </row>
    <row r="231" spans="2:11" x14ac:dyDescent="0.2">
      <c r="B231" s="468" t="str">
        <f>'ن-فرعي'!B365:K365</f>
        <v>تسديد عجز الموازنة الحالي وذمة عجز موازنة التمويل المتراكم والقروض المستحقة</v>
      </c>
      <c r="C231" s="469"/>
      <c r="D231" s="469"/>
      <c r="E231" s="469"/>
      <c r="F231" s="469"/>
      <c r="G231" s="469"/>
      <c r="H231" s="469"/>
      <c r="I231" s="470"/>
    </row>
    <row r="232" spans="2:11" s="46" customFormat="1" x14ac:dyDescent="0.2">
      <c r="B232" s="250" t="str">
        <f>IF('ن-فرعي'!D367&gt;0,'ن-فرعي'!D367,"")</f>
        <v/>
      </c>
      <c r="C232" s="276" t="str">
        <f>IF('ن-فرعي'!E367&gt;0,'ن-فرعي'!E367,"")</f>
        <v>تسديد قرض صندوق الادخار/جامعة آل البيت (المستحق)</v>
      </c>
      <c r="D232" s="249">
        <f>IF('ن-فرعي'!F367&gt;0,'ن-فرعي'!F367,"")</f>
        <v>2000000</v>
      </c>
      <c r="E232" s="249">
        <f>IF('ن-فرعي'!G367&gt;0,'ن-فرعي'!G367,"")</f>
        <v>795000</v>
      </c>
      <c r="F232" s="249">
        <f>IF('ن-فرعي'!H367&gt;0,'ن-فرعي'!H367,"")</f>
        <v>50000</v>
      </c>
      <c r="G232" s="249" t="str">
        <f>IF('ن-فرعي'!I367&gt;0,'ن-فرعي'!I367,"")</f>
        <v/>
      </c>
      <c r="H232" s="148">
        <f>IF('ن-فرعي'!J367&gt;0,'ن-فرعي'!J367,"")</f>
        <v>1900000</v>
      </c>
      <c r="I232" s="112">
        <f>IFERROR(H232/D232,"")</f>
        <v>0.95</v>
      </c>
      <c r="J232" s="15"/>
    </row>
    <row r="233" spans="2:11" s="46" customFormat="1" x14ac:dyDescent="0.2">
      <c r="B233" s="250"/>
      <c r="C233" s="275" t="str">
        <f>IF('ن-فرعي'!E368&gt;0,'ن-فرعي'!E368,"")</f>
        <v>تسديد قرض بنك القاهرة عمان/ سلفة البنك المركزي للجامعات الحكومية 2 مليون دينار</v>
      </c>
      <c r="D233" s="249" t="str">
        <f>IF('ن-فرعي'!F368&gt;0,'ن-فرعي'!F368,"")</f>
        <v/>
      </c>
      <c r="E233" s="249" t="str">
        <f>IF('ن-فرعي'!G368&gt;0,'ن-فرعي'!G368,"")</f>
        <v/>
      </c>
      <c r="F233" s="249" t="str">
        <f>IF('ن-فرعي'!H368&gt;0,'ن-فرعي'!H368,"")</f>
        <v/>
      </c>
      <c r="G233" s="249" t="str">
        <f>IF('ن-فرعي'!I368&gt;0,'ن-فرعي'!I368,"")</f>
        <v/>
      </c>
      <c r="H233" s="148" t="str">
        <f>IF('ن-فرعي'!J368&gt;0,'ن-فرعي'!J368,"")</f>
        <v/>
      </c>
      <c r="I233" s="112" t="str">
        <f t="shared" ref="I233:I237" si="38">IFERROR(H233/D233,"")</f>
        <v/>
      </c>
      <c r="J233" s="15"/>
    </row>
    <row r="234" spans="2:11" s="46" customFormat="1" x14ac:dyDescent="0.2">
      <c r="B234" s="250"/>
      <c r="C234" s="275" t="str">
        <f>IF('ن-فرعي'!E369&gt;0,'ن-فرعي'!E369,"")</f>
        <v>تسديد سلفة وزارة المالية</v>
      </c>
      <c r="D234" s="249" t="str">
        <f>IF('ن-فرعي'!F369&gt;0,'ن-فرعي'!F369,"")</f>
        <v/>
      </c>
      <c r="E234" s="249" t="str">
        <f>IF('ن-فرعي'!G369&gt;0,'ن-فرعي'!G369,"")</f>
        <v/>
      </c>
      <c r="F234" s="249" t="str">
        <f>IF('ن-فرعي'!H369&gt;0,'ن-فرعي'!H369,"")</f>
        <v/>
      </c>
      <c r="G234" s="249" t="str">
        <f>IF('ن-فرعي'!I369&gt;0,'ن-فرعي'!I369,"")</f>
        <v/>
      </c>
      <c r="H234" s="148">
        <f>IF('ن-فرعي'!J369&gt;0,'ن-فرعي'!J369,"")</f>
        <v>500000</v>
      </c>
      <c r="I234" s="112" t="str">
        <f t="shared" si="38"/>
        <v/>
      </c>
      <c r="J234" s="15"/>
    </row>
    <row r="235" spans="2:11" s="46" customFormat="1" x14ac:dyDescent="0.2">
      <c r="B235" s="218" t="str">
        <f>IF('ن-فرعي'!D370&gt;0,'ن-فرعي'!D370,"")</f>
        <v/>
      </c>
      <c r="C235" s="275" t="str">
        <f>IF('ن-فرعي'!E370&gt;0,'ن-فرعي'!E370,"")</f>
        <v>تسديد عجز موازنة السنة المالية  الحالية</v>
      </c>
      <c r="D235" s="249" t="str">
        <f>IF('ن-فرعي'!F370&gt;0,'ن-فرعي'!F370,"")</f>
        <v/>
      </c>
      <c r="E235" s="249" t="str">
        <f>IF('ن-فرعي'!G370&gt;0,'ن-فرعي'!G370,"")</f>
        <v/>
      </c>
      <c r="F235" s="249" t="str">
        <f>IF('ن-فرعي'!H370&gt;0,'ن-فرعي'!H370,"")</f>
        <v/>
      </c>
      <c r="G235" s="249" t="str">
        <f>IF('ن-فرعي'!I370&gt;0,'ن-فرعي'!I370,"")</f>
        <v/>
      </c>
      <c r="H235" s="148">
        <f>IF('ن-فرعي'!J370&gt;0,'ن-فرعي'!J370,"")</f>
        <v>5314000</v>
      </c>
      <c r="I235" s="112" t="str">
        <f t="shared" si="38"/>
        <v/>
      </c>
      <c r="J235" s="15"/>
    </row>
    <row r="236" spans="2:11" x14ac:dyDescent="0.2">
      <c r="B236" s="250" t="str">
        <f>IF('ن-فرعي'!D371&gt;0,'ن-فرعي'!D371,"")</f>
        <v/>
      </c>
      <c r="C236" s="276" t="str">
        <f>IF('ن-فرعي'!E371&gt;0,'ن-فرعي'!E371,"")</f>
        <v>تسديد ذمة عجز موازنة التمويل المتراكم</v>
      </c>
      <c r="D236" s="249">
        <f>IF('ن-فرعي'!F371&gt;0,'ن-فرعي'!F371,"")</f>
        <v>14000000</v>
      </c>
      <c r="E236" s="249">
        <f>IF('ن-فرعي'!G371&gt;0,'ن-فرعي'!G371,"")</f>
        <v>14000000</v>
      </c>
      <c r="F236" s="249">
        <f>IF('ن-فرعي'!H371&gt;0,'ن-فرعي'!H371,"")</f>
        <v>13740592.323000001</v>
      </c>
      <c r="G236" s="249" t="str">
        <f>IF('ن-فرعي'!I371&gt;0,'ن-فرعي'!I371,"")</f>
        <v/>
      </c>
      <c r="H236" s="148">
        <f>IF('ن-فرعي'!J371&gt;0,'ن-فرعي'!J371,"")</f>
        <v>15376000</v>
      </c>
      <c r="I236" s="112">
        <f t="shared" si="38"/>
        <v>1.0982857142857143</v>
      </c>
      <c r="K236" s="279" t="s">
        <v>656</v>
      </c>
    </row>
    <row r="237" spans="2:11" x14ac:dyDescent="0.2">
      <c r="B237" s="438" t="str">
        <f>'ن-فرعي'!B372</f>
        <v>مجموع تسديد عجز الموازنة الحالي وذمة عجز موازنة التمويل المتراكم والقروض المستحقة</v>
      </c>
      <c r="C237" s="439"/>
      <c r="D237" s="144">
        <f>SUM(D232:D236)</f>
        <v>16000000</v>
      </c>
      <c r="E237" s="144">
        <f>SUM(E232:E236)</f>
        <v>14795000</v>
      </c>
      <c r="F237" s="144">
        <f>SUM(F232:F236)</f>
        <v>13790592.323000001</v>
      </c>
      <c r="G237" s="144">
        <f>SUM(G232:G236)</f>
        <v>0</v>
      </c>
      <c r="H237" s="144">
        <f>SUM(H232:H236)</f>
        <v>23090000</v>
      </c>
      <c r="I237" s="112">
        <f t="shared" si="38"/>
        <v>1.443125</v>
      </c>
    </row>
    <row r="238" spans="2:11" x14ac:dyDescent="0.2">
      <c r="B238" s="460" t="s">
        <v>608</v>
      </c>
      <c r="C238" s="461"/>
      <c r="D238" s="153">
        <f>SUM(D237)</f>
        <v>16000000</v>
      </c>
      <c r="E238" s="153">
        <f t="shared" ref="E238:H238" si="39">SUM(E237)</f>
        <v>14795000</v>
      </c>
      <c r="F238" s="153">
        <f t="shared" si="39"/>
        <v>13790592.323000001</v>
      </c>
      <c r="G238" s="153">
        <f t="shared" si="39"/>
        <v>0</v>
      </c>
      <c r="H238" s="153">
        <f t="shared" si="39"/>
        <v>23090000</v>
      </c>
      <c r="I238" s="112">
        <f>IFERROR(H238/D238,"")</f>
        <v>1.443125</v>
      </c>
    </row>
    <row r="239" spans="2:11" x14ac:dyDescent="0.2">
      <c r="B239" s="479"/>
      <c r="C239" s="480"/>
      <c r="D239" s="480"/>
      <c r="E239" s="480"/>
      <c r="F239" s="480"/>
      <c r="G239" s="480"/>
      <c r="H239" s="480"/>
      <c r="I239" s="481"/>
    </row>
    <row r="240" spans="2:11" x14ac:dyDescent="0.2">
      <c r="B240" s="430" t="s">
        <v>611</v>
      </c>
      <c r="C240" s="431"/>
      <c r="D240" s="419">
        <v>2019</v>
      </c>
      <c r="E240" s="419"/>
      <c r="F240" s="419"/>
      <c r="G240" s="419"/>
      <c r="H240" s="420">
        <v>2020</v>
      </c>
      <c r="I240" s="421"/>
    </row>
    <row r="241" spans="2:11" x14ac:dyDescent="0.2">
      <c r="B241" s="407" t="s">
        <v>654</v>
      </c>
      <c r="C241" s="408"/>
      <c r="D241" s="408"/>
      <c r="E241" s="408"/>
      <c r="F241" s="408"/>
      <c r="G241" s="408"/>
      <c r="H241" s="408"/>
      <c r="I241" s="409"/>
      <c r="J241" s="252"/>
      <c r="K241" s="252"/>
    </row>
    <row r="242" spans="2:11" x14ac:dyDescent="0.2">
      <c r="B242" s="468" t="str">
        <f>'ن-فرعي'!B377:K377</f>
        <v>الفصل الأول: نفقات مشاريع وأجهزة وتجهيزات مشروطة بالتمويل</v>
      </c>
      <c r="C242" s="469"/>
      <c r="D242" s="469"/>
      <c r="E242" s="469"/>
      <c r="F242" s="469"/>
      <c r="G242" s="469"/>
      <c r="H242" s="469"/>
      <c r="I242" s="470"/>
    </row>
    <row r="243" spans="2:11" x14ac:dyDescent="0.2">
      <c r="B243" s="250">
        <f>IF('ن-فرعي'!D379&gt;0,'ن-فرعي'!D379,"")</f>
        <v>29301002</v>
      </c>
      <c r="C243" s="20" t="str">
        <f>IF('ن-فرعي'!E379&gt;0,'ن-فرعي'!E379,"")</f>
        <v>مشروع بناء كلية الهندسة/ مشروطة بالتمويل</v>
      </c>
      <c r="D243" s="225">
        <f>IF('ن-فرعي'!F379&gt;0,'ن-فرعي'!F379,"")</f>
        <v>1000000</v>
      </c>
      <c r="E243" s="225">
        <f>IF('ن-فرعي'!G379&gt;0,'ن-فرعي'!G379,"")</f>
        <v>1000000</v>
      </c>
      <c r="F243" s="225">
        <f>IF('ن-فرعي'!H379&gt;0,'ن-فرعي'!H379,"")</f>
        <v>738348.18299999996</v>
      </c>
      <c r="G243" s="225">
        <f>IF('ن-فرعي'!I379&gt;0,'ن-فرعي'!I379,"")</f>
        <v>261651.81700000001</v>
      </c>
      <c r="H243" s="148">
        <f>IF('ن-فرعي'!J379&gt;0,'ن-فرعي'!J379,"")</f>
        <v>500000</v>
      </c>
      <c r="I243" s="112">
        <f t="shared" ref="I243:I262" si="40">IFERROR(H243/D243,"")</f>
        <v>0.5</v>
      </c>
    </row>
    <row r="244" spans="2:11" x14ac:dyDescent="0.2">
      <c r="B244" s="250">
        <f>IF('ن-فرعي'!D380&gt;0,'ن-فرعي'!D380,"")</f>
        <v>29301005</v>
      </c>
      <c r="C244" s="129" t="str">
        <f>IF('ن-فرعي'!E380&gt;0,'ن-فرعي'!E380,"")</f>
        <v>مشروع بناء ملحق كلية التمريض/ المرحلة الأولى</v>
      </c>
      <c r="D244" s="249">
        <f>IF('ن-فرعي'!F380&gt;0,'ن-فرعي'!F380,"")</f>
        <v>100000</v>
      </c>
      <c r="E244" s="249">
        <f>IF('ن-فرعي'!G380&gt;0,'ن-فرعي'!G380,"")</f>
        <v>150000</v>
      </c>
      <c r="F244" s="249">
        <f>IF('ن-فرعي'!H380&gt;0,'ن-فرعي'!H380,"")</f>
        <v>130826.83500000001</v>
      </c>
      <c r="G244" s="249" t="str">
        <f>IF('ن-فرعي'!I380&gt;0,'ن-فرعي'!I380,"")</f>
        <v/>
      </c>
      <c r="H244" s="148" t="str">
        <f>IF('ن-فرعي'!J380&gt;0,'ن-فرعي'!J380,"")</f>
        <v/>
      </c>
      <c r="I244" s="112" t="str">
        <f t="shared" si="40"/>
        <v/>
      </c>
    </row>
    <row r="245" spans="2:11" s="46" customFormat="1" x14ac:dyDescent="0.2">
      <c r="B245" s="250" t="str">
        <f>IF('ن-فرعي'!D381&gt;0,'ن-فرعي'!D381,"")</f>
        <v/>
      </c>
      <c r="C245" s="55" t="str">
        <f>IF('ن-فرعي'!E381&gt;0,'ن-فرعي'!E381,"")</f>
        <v>مشروع بناء ملحق كلية التمريض/ المرحلة الثانية/ مشروطة بالتمويل</v>
      </c>
      <c r="D245" s="249" t="str">
        <f>IF('ن-فرعي'!F381&gt;0,'ن-فرعي'!F381,"")</f>
        <v/>
      </c>
      <c r="E245" s="249" t="str">
        <f>IF('ن-فرعي'!G381&gt;0,'ن-فرعي'!G381,"")</f>
        <v/>
      </c>
      <c r="F245" s="249" t="str">
        <f>IF('ن-فرعي'!H381&gt;0,'ن-فرعي'!H381,"")</f>
        <v/>
      </c>
      <c r="G245" s="249" t="str">
        <f>IF('ن-فرعي'!I381&gt;0,'ن-فرعي'!I381,"")</f>
        <v/>
      </c>
      <c r="H245" s="148">
        <f>IF('ن-فرعي'!J381&gt;0,'ن-فرعي'!J381,"")</f>
        <v>1500000</v>
      </c>
      <c r="I245" s="112" t="str">
        <f t="shared" si="40"/>
        <v/>
      </c>
      <c r="J245" s="15"/>
    </row>
    <row r="246" spans="2:11" x14ac:dyDescent="0.2">
      <c r="B246" s="250">
        <f>IF('ن-فرعي'!D382&gt;0,'ن-فرعي'!D382,"")</f>
        <v>29301019</v>
      </c>
      <c r="C246" s="20" t="str">
        <f>IF('ن-فرعي'!E382&gt;0,'ن-فرعي'!E382,"")</f>
        <v>مشروع بناء كلية ادارة المال والاعمال/ مشروطة بالتمويل</v>
      </c>
      <c r="D246" s="225">
        <f>IF('ن-فرعي'!F382&gt;0,'ن-فرعي'!F382,"")</f>
        <v>1000000</v>
      </c>
      <c r="E246" s="225">
        <f>IF('ن-فرعي'!G382&gt;0,'ن-فرعي'!G382,"")</f>
        <v>1000000</v>
      </c>
      <c r="F246" s="225">
        <f>IF('ن-فرعي'!H382&gt;0,'ن-فرعي'!H382,"")</f>
        <v>736027.24600000004</v>
      </c>
      <c r="G246" s="225">
        <f>IF('ن-فرعي'!I382&gt;0,'ن-فرعي'!I382,"")</f>
        <v>173983.74900000001</v>
      </c>
      <c r="H246" s="148">
        <f>IF('ن-فرعي'!J382&gt;0,'ن-فرعي'!J382,"")</f>
        <v>400000</v>
      </c>
      <c r="I246" s="112">
        <f t="shared" si="40"/>
        <v>0.4</v>
      </c>
    </row>
    <row r="247" spans="2:11" x14ac:dyDescent="0.2">
      <c r="B247" s="250">
        <f>IF('ن-فرعي'!D383&gt;0,'ن-فرعي'!D383,"")</f>
        <v>29301021</v>
      </c>
      <c r="C247" s="20" t="str">
        <f>IF('ن-فرعي'!E383&gt;0,'ن-فرعي'!E383,"")</f>
        <v>مشروع انشاء كلية طب/ مشروطة بالتمويل</v>
      </c>
      <c r="D247" s="225">
        <f>IF('ن-فرعي'!F383&gt;0,'ن-فرعي'!F383,"")</f>
        <v>1000000</v>
      </c>
      <c r="E247" s="225">
        <f>IF('ن-فرعي'!G383&gt;0,'ن-فرعي'!G383,"")</f>
        <v>950000</v>
      </c>
      <c r="F247" s="225" t="str">
        <f>IF('ن-فرعي'!H383&gt;0,'ن-فرعي'!H383,"")</f>
        <v/>
      </c>
      <c r="G247" s="225" t="str">
        <f>IF('ن-فرعي'!I383&gt;0,'ن-فرعي'!I383,"")</f>
        <v/>
      </c>
      <c r="H247" s="148">
        <f>IF('ن-فرعي'!J383&gt;0,'ن-فرعي'!J383,"")</f>
        <v>1000000</v>
      </c>
      <c r="I247" s="112">
        <f t="shared" si="40"/>
        <v>1</v>
      </c>
    </row>
    <row r="248" spans="2:11" s="46" customFormat="1" x14ac:dyDescent="0.2">
      <c r="B248" s="250">
        <f>IF('ن-فرعي'!D384&gt;0,'ن-فرعي'!D384,"")</f>
        <v>29301023</v>
      </c>
      <c r="C248" s="20" t="str">
        <f>IF('ن-فرعي'!E384&gt;0,'ن-فرعي'!E384,"")</f>
        <v>مبنى مركز الحاسوب/ مشروطة بالتمويل</v>
      </c>
      <c r="D248" s="225">
        <f>IF('ن-فرعي'!F384&gt;0,'ن-فرعي'!F384,"")</f>
        <v>200000</v>
      </c>
      <c r="E248" s="225">
        <f>IF('ن-فرعي'!G384&gt;0,'ن-فرعي'!G384,"")</f>
        <v>200000</v>
      </c>
      <c r="F248" s="225" t="str">
        <f>IF('ن-فرعي'!H384&gt;0,'ن-فرعي'!H384,"")</f>
        <v/>
      </c>
      <c r="G248" s="225" t="str">
        <f>IF('ن-فرعي'!I384&gt;0,'ن-فرعي'!I384,"")</f>
        <v/>
      </c>
      <c r="H248" s="148">
        <f>IF('ن-فرعي'!J384&gt;0,'ن-فرعي'!J384,"")</f>
        <v>75000</v>
      </c>
      <c r="I248" s="112">
        <f t="shared" si="40"/>
        <v>0.375</v>
      </c>
      <c r="J248" s="15"/>
    </row>
    <row r="249" spans="2:11" s="46" customFormat="1" x14ac:dyDescent="0.2">
      <c r="B249" s="250">
        <f>IF('ن-فرعي'!D385&gt;0,'ن-فرعي'!D385,"")</f>
        <v>29301024</v>
      </c>
      <c r="C249" s="128" t="str">
        <f>IF('ن-فرعي'!E385&gt;0,'ن-فرعي'!E385,"")</f>
        <v>بناء مستودع كلية العلوم/ مشروطة بالتمويل</v>
      </c>
      <c r="D249" s="249">
        <f>IF('ن-فرعي'!F385&gt;0,'ن-فرعي'!F385,"")</f>
        <v>200000</v>
      </c>
      <c r="E249" s="249">
        <f>IF('ن-فرعي'!G385&gt;0,'ن-فرعي'!G385,"")</f>
        <v>200000</v>
      </c>
      <c r="F249" s="249" t="str">
        <f>IF('ن-فرعي'!H385&gt;0,'ن-فرعي'!H385,"")</f>
        <v/>
      </c>
      <c r="G249" s="249" t="str">
        <f>IF('ن-فرعي'!I385&gt;0,'ن-فرعي'!I385,"")</f>
        <v/>
      </c>
      <c r="H249" s="148" t="str">
        <f>IF('ن-فرعي'!J385&gt;0,'ن-فرعي'!J385,"")</f>
        <v/>
      </c>
      <c r="I249" s="112" t="str">
        <f t="shared" si="40"/>
        <v/>
      </c>
      <c r="J249" s="15"/>
    </row>
    <row r="250" spans="2:11" s="46" customFormat="1" x14ac:dyDescent="0.2">
      <c r="B250" s="250">
        <f>IF('ن-فرعي'!D386&gt;0,'ن-فرعي'!D386,"")</f>
        <v>29301025</v>
      </c>
      <c r="C250" s="128" t="str">
        <f>IF('ن-فرعي'!E386&gt;0,'ن-فرعي'!E386,"")</f>
        <v>بناء هنجر للمستودعات الرئيسية/ مشروطة بالتمويل</v>
      </c>
      <c r="D250" s="249">
        <f>IF('ن-فرعي'!F386&gt;0,'ن-فرعي'!F386,"")</f>
        <v>200000</v>
      </c>
      <c r="E250" s="249">
        <f>IF('ن-فرعي'!G386&gt;0,'ن-فرعي'!G386,"")</f>
        <v>200000</v>
      </c>
      <c r="F250" s="249" t="str">
        <f>IF('ن-فرعي'!H386&gt;0,'ن-فرعي'!H386,"")</f>
        <v/>
      </c>
      <c r="G250" s="249" t="str">
        <f>IF('ن-فرعي'!I386&gt;0,'ن-فرعي'!I386,"")</f>
        <v/>
      </c>
      <c r="H250" s="148" t="str">
        <f>IF('ن-فرعي'!J386&gt;0,'ن-فرعي'!J386,"")</f>
        <v/>
      </c>
      <c r="I250" s="112" t="str">
        <f t="shared" si="40"/>
        <v/>
      </c>
      <c r="J250" s="15"/>
    </row>
    <row r="251" spans="2:11" s="46" customFormat="1" x14ac:dyDescent="0.2">
      <c r="B251" s="250">
        <f>IF('ن-فرعي'!D387&gt;0,'ن-فرعي'!D387,"")</f>
        <v>29301026</v>
      </c>
      <c r="C251" s="20" t="str">
        <f>IF('ن-فرعي'!E387&gt;0,'ن-فرعي'!E387,"")</f>
        <v>مجمع القاعات التدريسية وقاعة المؤتمرات/ مشروطة بالتمويل</v>
      </c>
      <c r="D251" s="225">
        <f>IF('ن-فرعي'!F387&gt;0,'ن-فرعي'!F387,"")</f>
        <v>3900000</v>
      </c>
      <c r="E251" s="225">
        <f>IF('ن-فرعي'!G387&gt;0,'ن-فرعي'!G387,"")</f>
        <v>3900000</v>
      </c>
      <c r="F251" s="225" t="str">
        <f>IF('ن-فرعي'!H387&gt;0,'ن-فرعي'!H387,"")</f>
        <v/>
      </c>
      <c r="G251" s="225" t="str">
        <f>IF('ن-فرعي'!I387&gt;0,'ن-فرعي'!I387,"")</f>
        <v/>
      </c>
      <c r="H251" s="148">
        <f>IF('ن-فرعي'!J387&gt;0,'ن-فرعي'!J387,"")</f>
        <v>3000000</v>
      </c>
      <c r="I251" s="112">
        <f t="shared" si="40"/>
        <v>0.76923076923076927</v>
      </c>
      <c r="J251" s="15"/>
    </row>
    <row r="252" spans="2:11" s="46" customFormat="1" x14ac:dyDescent="0.2">
      <c r="B252" s="217">
        <f>IF('ن-فرعي'!D388&gt;0,'ن-فرعي'!D388,"")</f>
        <v>29301027</v>
      </c>
      <c r="C252" s="20" t="str">
        <f>IF('ن-فرعي'!E388&gt;0,'ن-فرعي'!E388,"")</f>
        <v>جمنازيوم رياضي متعدد الأغراض (تربية بدنية)/ مشروطة بالتمويل</v>
      </c>
      <c r="D252" s="225">
        <f>IF('ن-فرعي'!F388&gt;0,'ن-فرعي'!F388,"")</f>
        <v>200000</v>
      </c>
      <c r="E252" s="225">
        <f>IF('ن-فرعي'!G388&gt;0,'ن-فرعي'!G388,"")</f>
        <v>200000</v>
      </c>
      <c r="F252" s="225" t="str">
        <f>IF('ن-فرعي'!H388&gt;0,'ن-فرعي'!H388,"")</f>
        <v/>
      </c>
      <c r="G252" s="225" t="str">
        <f>IF('ن-فرعي'!I388&gt;0,'ن-فرعي'!I388,"")</f>
        <v/>
      </c>
      <c r="H252" s="148">
        <f>IF('ن-فرعي'!J388&gt;0,'ن-فرعي'!J388,"")</f>
        <v>180000</v>
      </c>
      <c r="I252" s="112">
        <f t="shared" si="40"/>
        <v>0.9</v>
      </c>
      <c r="J252" s="15"/>
    </row>
    <row r="253" spans="2:11" x14ac:dyDescent="0.2">
      <c r="B253" s="217">
        <f>IF('ن-فرعي'!D391&gt;0,'ن-فرعي'!D391,"")</f>
        <v>29302001</v>
      </c>
      <c r="C253" s="20" t="str">
        <f>IF('ن-فرعي'!E391&gt;0,'ن-فرعي'!E391,"")</f>
        <v>أجهزة حاسوب وملحقاتها/ مشروطة بالتمويل</v>
      </c>
      <c r="D253" s="225">
        <f>IF('ن-فرعي'!F391&gt;0,'ن-فرعي'!F391,"")</f>
        <v>100000</v>
      </c>
      <c r="E253" s="225">
        <f>IF('ن-فرعي'!G391&gt;0,'ن-فرعي'!G391,"")</f>
        <v>100000</v>
      </c>
      <c r="F253" s="225" t="str">
        <f>IF('ن-فرعي'!H391&gt;0,'ن-فرعي'!H391,"")</f>
        <v/>
      </c>
      <c r="G253" s="225">
        <f>IF('ن-فرعي'!I391&gt;0,'ن-فرعي'!I391,"")</f>
        <v>39800</v>
      </c>
      <c r="H253" s="148">
        <f>IF('ن-فرعي'!J391&gt;0,'ن-فرعي'!J391,"")</f>
        <v>100000</v>
      </c>
      <c r="I253" s="112">
        <f t="shared" si="40"/>
        <v>1</v>
      </c>
    </row>
    <row r="254" spans="2:11" x14ac:dyDescent="0.2">
      <c r="B254" s="217">
        <f>IF('ن-فرعي'!D392&gt;0,'ن-فرعي'!D392,"")</f>
        <v>29302002</v>
      </c>
      <c r="C254" s="20" t="str">
        <f>IF('ن-فرعي'!E392&gt;0,'ن-فرعي'!E392,"")</f>
        <v>أجهزة وتجهيزات خاصة بالمختبرات/ مشروطة بالتمويل</v>
      </c>
      <c r="D254" s="225">
        <f>IF('ن-فرعي'!F392&gt;0,'ن-فرعي'!F392,"")</f>
        <v>100000</v>
      </c>
      <c r="E254" s="225">
        <f>IF('ن-فرعي'!G392&gt;0,'ن-فرعي'!G392,"")</f>
        <v>100000</v>
      </c>
      <c r="F254" s="225" t="str">
        <f>IF('ن-فرعي'!H392&gt;0,'ن-فرعي'!H392,"")</f>
        <v/>
      </c>
      <c r="G254" s="225" t="str">
        <f>IF('ن-فرعي'!I392&gt;0,'ن-فرعي'!I392,"")</f>
        <v/>
      </c>
      <c r="H254" s="148">
        <f>IF('ن-فرعي'!J392&gt;0,'ن-فرعي'!J392,"")</f>
        <v>100000</v>
      </c>
      <c r="I254" s="112">
        <f t="shared" si="40"/>
        <v>1</v>
      </c>
    </row>
    <row r="255" spans="2:11" x14ac:dyDescent="0.2">
      <c r="B255" s="217">
        <f>IF('ن-فرعي'!D393&gt;0,'ن-فرعي'!D393,"")</f>
        <v>29302003</v>
      </c>
      <c r="C255" s="20" t="str">
        <f>IF('ن-فرعي'!E393&gt;0,'ن-فرعي'!E393,"")</f>
        <v>أجهزة وتجهيزات متنوعة/ مشروطة بالتمويل</v>
      </c>
      <c r="D255" s="225">
        <f>IF('ن-فرعي'!F393&gt;0,'ن-فرعي'!F393,"")</f>
        <v>100000</v>
      </c>
      <c r="E255" s="225">
        <f>IF('ن-فرعي'!G393&gt;0,'ن-فرعي'!G393,"")</f>
        <v>100000</v>
      </c>
      <c r="F255" s="225" t="str">
        <f>IF('ن-فرعي'!H393&gt;0,'ن-فرعي'!H393,"")</f>
        <v/>
      </c>
      <c r="G255" s="225" t="str">
        <f>IF('ن-فرعي'!I393&gt;0,'ن-فرعي'!I393,"")</f>
        <v/>
      </c>
      <c r="H255" s="148">
        <f>IF('ن-فرعي'!J393&gt;0,'ن-فرعي'!J393,"")</f>
        <v>100000</v>
      </c>
      <c r="I255" s="112">
        <f t="shared" si="40"/>
        <v>1</v>
      </c>
    </row>
    <row r="256" spans="2:11" x14ac:dyDescent="0.2">
      <c r="B256" s="217">
        <f>IF('ن-فرعي'!D394&gt;0,'ن-فرعي'!D394,"")</f>
        <v>29302004</v>
      </c>
      <c r="C256" s="20" t="str">
        <f>IF('ن-فرعي'!E394&gt;0,'ن-فرعي'!E394,"")</f>
        <v>تطوير وتأهيل البنية التحتية للشبكات المختلفة/ مشروطة بالتمويل</v>
      </c>
      <c r="D256" s="225">
        <f>IF('ن-فرعي'!F394&gt;0,'ن-فرعي'!F394,"")</f>
        <v>100000</v>
      </c>
      <c r="E256" s="225">
        <f>IF('ن-فرعي'!G394&gt;0,'ن-فرعي'!G394,"")</f>
        <v>100000</v>
      </c>
      <c r="F256" s="225" t="str">
        <f>IF('ن-فرعي'!H394&gt;0,'ن-فرعي'!H394,"")</f>
        <v/>
      </c>
      <c r="G256" s="225" t="str">
        <f>IF('ن-فرعي'!I394&gt;0,'ن-فرعي'!I394,"")</f>
        <v/>
      </c>
      <c r="H256" s="148">
        <f>IF('ن-فرعي'!J394&gt;0,'ن-فرعي'!J394,"")</f>
        <v>100000</v>
      </c>
      <c r="I256" s="112">
        <f t="shared" si="40"/>
        <v>1</v>
      </c>
    </row>
    <row r="257" spans="2:10" s="46" customFormat="1" x14ac:dyDescent="0.2">
      <c r="B257" s="217">
        <f>IF('ن-فرعي'!D395&gt;0,'ن-فرعي'!D395,"")</f>
        <v>29302005</v>
      </c>
      <c r="C257" s="20" t="str">
        <f>IF('ن-فرعي'!E395&gt;0,'ن-فرعي'!E395,"")</f>
        <v>تأهيل مسابح الجامعة والمسبح الأولمبي/ مشروطة بالتمويل</v>
      </c>
      <c r="D257" s="225">
        <f>IF('ن-فرعي'!F395&gt;0,'ن-فرعي'!F395,"")</f>
        <v>100000</v>
      </c>
      <c r="E257" s="225">
        <f>IF('ن-فرعي'!G395&gt;0,'ن-فرعي'!G395,"")</f>
        <v>100000</v>
      </c>
      <c r="F257" s="225">
        <f>IF('ن-فرعي'!H395&gt;0,'ن-فرعي'!H395,"")</f>
        <v>14528.2</v>
      </c>
      <c r="G257" s="225">
        <f>IF('ن-فرعي'!I395&gt;0,'ن-فرعي'!I395,"")</f>
        <v>1</v>
      </c>
      <c r="H257" s="148">
        <f>IF('ن-فرعي'!J395&gt;0,'ن-فرعي'!J395,"")</f>
        <v>100000</v>
      </c>
      <c r="I257" s="112">
        <f t="shared" si="40"/>
        <v>1</v>
      </c>
      <c r="J257" s="15"/>
    </row>
    <row r="258" spans="2:10" s="46" customFormat="1" x14ac:dyDescent="0.2">
      <c r="B258" s="217">
        <f>IF('ن-فرعي'!D396&gt;0,'ن-فرعي'!D396,"")</f>
        <v>29302006</v>
      </c>
      <c r="C258" s="20" t="str">
        <f>IF('ن-فرعي'!E396&gt;0,'ن-فرعي'!E396,"")</f>
        <v>PADILEIA - Partnership for Digital Learning &amp; Increased Access</v>
      </c>
      <c r="D258" s="225">
        <f>IF('ن-فرعي'!F396&gt;0,'ن-فرعي'!F396,"")</f>
        <v>2000000</v>
      </c>
      <c r="E258" s="225">
        <f>IF('ن-فرعي'!G396&gt;0,'ن-فرعي'!G396,"")</f>
        <v>2000000</v>
      </c>
      <c r="F258" s="225" t="str">
        <f>IF('ن-فرعي'!H396&gt;0,'ن-فرعي'!H396,"")</f>
        <v/>
      </c>
      <c r="G258" s="225" t="str">
        <f>IF('ن-فرعي'!I396&gt;0,'ن-فرعي'!I396,"")</f>
        <v/>
      </c>
      <c r="H258" s="148">
        <f>IF('ن-فرعي'!J396&gt;0,'ن-فرعي'!J396,"")</f>
        <v>1000000</v>
      </c>
      <c r="I258" s="112">
        <f t="shared" si="40"/>
        <v>0.5</v>
      </c>
      <c r="J258" s="15"/>
    </row>
    <row r="259" spans="2:10" s="46" customFormat="1" x14ac:dyDescent="0.2">
      <c r="B259" s="220">
        <v>29302007</v>
      </c>
      <c r="C259" s="65" t="s">
        <v>505</v>
      </c>
      <c r="D259" s="225">
        <f>IF('ن-فرعي'!F397&gt;0,'ن-فرعي'!F397,"")</f>
        <v>200000</v>
      </c>
      <c r="E259" s="225">
        <f>IF('ن-فرعي'!G397&gt;0,'ن-فرعي'!G397,"")</f>
        <v>200000</v>
      </c>
      <c r="F259" s="225"/>
      <c r="G259" s="225"/>
      <c r="H259" s="148">
        <f>IF('ن-فرعي'!J397&gt;0,'ن-فرعي'!J397,"")</f>
        <v>200000</v>
      </c>
      <c r="I259" s="112">
        <f t="shared" si="40"/>
        <v>1</v>
      </c>
      <c r="J259" s="15"/>
    </row>
    <row r="260" spans="2:10" s="46" customFormat="1" x14ac:dyDescent="0.2">
      <c r="B260" s="221"/>
      <c r="C260" s="55" t="s">
        <v>564</v>
      </c>
      <c r="D260" s="249" t="str">
        <f>IF('ن-فرعي'!F398&gt;0,'ن-فرعي'!F398,"")</f>
        <v/>
      </c>
      <c r="E260" s="249" t="str">
        <f>IF('ن-فرعي'!G398&gt;0,'ن-فرعي'!G398,"")</f>
        <v/>
      </c>
      <c r="F260" s="249" t="str">
        <f>IF('ن-فرعي'!H398&gt;0,'ن-فرعي'!H398,"")</f>
        <v/>
      </c>
      <c r="G260" s="249" t="str">
        <f>IF('ن-فرعي'!I398&gt;0,'ن-فرعي'!I398,"")</f>
        <v/>
      </c>
      <c r="H260" s="148">
        <f>IF('ن-فرعي'!J398&gt;0,'ن-فرعي'!J398,"")</f>
        <v>75000</v>
      </c>
      <c r="I260" s="112" t="str">
        <f t="shared" si="40"/>
        <v/>
      </c>
      <c r="J260" s="15"/>
    </row>
    <row r="261" spans="2:10" s="46" customFormat="1" x14ac:dyDescent="0.2">
      <c r="B261" s="221"/>
      <c r="C261" s="55" t="s">
        <v>518</v>
      </c>
      <c r="D261" s="249" t="str">
        <f>IF('ن-فرعي'!F399&gt;0,'ن-فرعي'!F399,"")</f>
        <v/>
      </c>
      <c r="E261" s="249" t="str">
        <f>IF('ن-فرعي'!G399&gt;0,'ن-فرعي'!G399,"")</f>
        <v/>
      </c>
      <c r="F261" s="249" t="str">
        <f>IF('ن-فرعي'!H399&gt;0,'ن-فرعي'!H399,"")</f>
        <v/>
      </c>
      <c r="G261" s="249" t="str">
        <f>IF('ن-فرعي'!I399&gt;0,'ن-فرعي'!I399,"")</f>
        <v/>
      </c>
      <c r="H261" s="148">
        <f>IF('ن-فرعي'!J399&gt;0,'ن-فرعي'!J399,"")</f>
        <v>70000</v>
      </c>
      <c r="I261" s="112" t="str">
        <f t="shared" si="40"/>
        <v/>
      </c>
      <c r="J261" s="15"/>
    </row>
    <row r="262" spans="2:10" x14ac:dyDescent="0.2">
      <c r="B262" s="438" t="s">
        <v>630</v>
      </c>
      <c r="C262" s="439"/>
      <c r="D262" s="144">
        <f>SUM(D243:D261)</f>
        <v>10500000</v>
      </c>
      <c r="E262" s="144">
        <f t="shared" ref="E262:H262" si="41">SUM(E243:E261)</f>
        <v>10500000</v>
      </c>
      <c r="F262" s="144">
        <f t="shared" si="41"/>
        <v>1619730.4639999999</v>
      </c>
      <c r="G262" s="144">
        <f t="shared" si="41"/>
        <v>475436.56599999999</v>
      </c>
      <c r="H262" s="144">
        <f t="shared" si="41"/>
        <v>8500000</v>
      </c>
      <c r="I262" s="112">
        <f t="shared" si="40"/>
        <v>0.80952380952380953</v>
      </c>
    </row>
    <row r="263" spans="2:10" s="46" customFormat="1" x14ac:dyDescent="0.2">
      <c r="B263" s="472" t="s">
        <v>633</v>
      </c>
      <c r="C263" s="473"/>
      <c r="D263" s="473"/>
      <c r="E263" s="473"/>
      <c r="F263" s="473"/>
      <c r="G263" s="473"/>
      <c r="H263" s="473"/>
      <c r="I263" s="474"/>
    </row>
    <row r="264" spans="2:10" s="46" customFormat="1" x14ac:dyDescent="0.2">
      <c r="B264" s="218"/>
      <c r="C264" s="57" t="s">
        <v>612</v>
      </c>
      <c r="D264" s="56" t="str">
        <f>IF('ن-فرعي'!F404&gt;0,+'ن-فرعي'!F404,"")</f>
        <v/>
      </c>
      <c r="E264" s="56" t="str">
        <f>IF('ن-فرعي'!G404&gt;0,+'ن-فرعي'!G404,"")</f>
        <v/>
      </c>
      <c r="F264" s="56" t="str">
        <f>IF('ن-فرعي'!H404&gt;0,+'ن-فرعي'!H404,"")</f>
        <v/>
      </c>
      <c r="G264" s="56" t="str">
        <f>IF('ن-فرعي'!I404&gt;0,+'ن-فرعي'!I404,"")</f>
        <v/>
      </c>
      <c r="H264" s="148">
        <f>IF('ن-فرعي'!J404&gt;0,+'ن-فرعي'!J404,"")</f>
        <v>10000</v>
      </c>
      <c r="I264" s="112" t="str">
        <f t="shared" ref="I264:I273" si="42">IFERROR(H264/D264,"")</f>
        <v/>
      </c>
      <c r="J264" s="15"/>
    </row>
    <row r="265" spans="2:10" x14ac:dyDescent="0.2">
      <c r="B265" s="217" t="str">
        <f>IF('ن-فرعي'!D405&gt;0,'ن-فرعي'!D405,"")</f>
        <v/>
      </c>
      <c r="C265" s="50" t="s">
        <v>566</v>
      </c>
      <c r="D265" s="56">
        <f>IF('ن-فرعي'!F405&gt;0,+'ن-فرعي'!F405,"")</f>
        <v>25000</v>
      </c>
      <c r="E265" s="56">
        <f>IF('ن-فرعي'!G405&gt;0,+'ن-فرعي'!G405,"")</f>
        <v>25000</v>
      </c>
      <c r="F265" s="56">
        <f>IF('ن-فرعي'!H405&gt;0,+'ن-فرعي'!H405,"")</f>
        <v>15320</v>
      </c>
      <c r="G265" s="56" t="str">
        <f>IF('ن-فرعي'!I405&gt;0,+'ن-فرعي'!I405,"")</f>
        <v/>
      </c>
      <c r="H265" s="148">
        <f>IF('ن-فرعي'!J405&gt;0,+'ن-فرعي'!J405,"")</f>
        <v>15000</v>
      </c>
      <c r="I265" s="112">
        <f t="shared" si="42"/>
        <v>0.6</v>
      </c>
    </row>
    <row r="266" spans="2:10" x14ac:dyDescent="0.2">
      <c r="B266" s="217" t="str">
        <f>IF('ن-فرعي'!D406&gt;0,'ن-فرعي'!D406,"")</f>
        <v/>
      </c>
      <c r="C266" s="50" t="s">
        <v>567</v>
      </c>
      <c r="D266" s="56">
        <f>IF('ن-فرعي'!F406&gt;0,+'ن-فرعي'!F406,"")</f>
        <v>100000</v>
      </c>
      <c r="E266" s="56">
        <f>IF('ن-فرعي'!G406&gt;0,+'ن-فرعي'!G406,"")</f>
        <v>100000</v>
      </c>
      <c r="F266" s="56">
        <f>IF('ن-فرعي'!H406&gt;0,+'ن-فرعي'!H406,"")</f>
        <v>85006</v>
      </c>
      <c r="G266" s="56" t="str">
        <f>IF('ن-فرعي'!I406&gt;0,+'ن-فرعي'!I406,"")</f>
        <v/>
      </c>
      <c r="H266" s="148">
        <f>IF('ن-فرعي'!J406&gt;0,+'ن-فرعي'!J406,"")</f>
        <v>100000</v>
      </c>
      <c r="I266" s="112">
        <f t="shared" si="42"/>
        <v>1</v>
      </c>
    </row>
    <row r="267" spans="2:10" x14ac:dyDescent="0.2">
      <c r="B267" s="217" t="str">
        <f>IF('ن-فرعي'!D407&gt;0,'ن-فرعي'!D407,"")</f>
        <v/>
      </c>
      <c r="C267" s="50" t="s">
        <v>568</v>
      </c>
      <c r="D267" s="56">
        <f>IF('ن-فرعي'!F407&gt;0,+'ن-فرعي'!F407,"")</f>
        <v>850000</v>
      </c>
      <c r="E267" s="56">
        <f>IF('ن-فرعي'!G407&gt;0,+'ن-فرعي'!G407,"")</f>
        <v>1265000</v>
      </c>
      <c r="F267" s="56">
        <f>IF('ن-فرعي'!H407&gt;0,+'ن-فرعي'!H407,"")</f>
        <v>39456</v>
      </c>
      <c r="G267" s="56" t="str">
        <f>IF('ن-فرعي'!I407&gt;0,+'ن-فرعي'!I407,"")</f>
        <v/>
      </c>
      <c r="H267" s="148">
        <f>IF('ن-فرعي'!J407&gt;0,+'ن-فرعي'!J407,"")</f>
        <v>50000</v>
      </c>
      <c r="I267" s="112">
        <f t="shared" si="42"/>
        <v>5.8823529411764705E-2</v>
      </c>
    </row>
    <row r="268" spans="2:10" s="46" customFormat="1" x14ac:dyDescent="0.2">
      <c r="B268" s="218"/>
      <c r="C268" s="57" t="s">
        <v>569</v>
      </c>
      <c r="D268" s="56" t="str">
        <f>IF('ن-فرعي'!F408&gt;0,+'ن-فرعي'!F408,"")</f>
        <v/>
      </c>
      <c r="E268" s="56" t="str">
        <f>IF('ن-فرعي'!G408&gt;0,+'ن-فرعي'!G408,"")</f>
        <v/>
      </c>
      <c r="F268" s="56">
        <f>IF('ن-فرعي'!H408&gt;0,+'ن-فرعي'!H408,"")</f>
        <v>1217849.1000000001</v>
      </c>
      <c r="G268" s="56" t="str">
        <f>IF('ن-فرعي'!I408&gt;0,+'ن-فرعي'!I408,"")</f>
        <v/>
      </c>
      <c r="H268" s="148">
        <f>IF('ن-فرعي'!J408&gt;0,+'ن-فرعي'!J408,"")</f>
        <v>1160000</v>
      </c>
      <c r="I268" s="112" t="str">
        <f t="shared" si="42"/>
        <v/>
      </c>
      <c r="J268" s="15"/>
    </row>
    <row r="269" spans="2:10" x14ac:dyDescent="0.2">
      <c r="B269" s="217" t="str">
        <f>IF('ن-فرعي'!D409&gt;0,'ن-فرعي'!D409,"")</f>
        <v/>
      </c>
      <c r="C269" s="50" t="s">
        <v>570</v>
      </c>
      <c r="D269" s="56">
        <f>IF('ن-فرعي'!F409&gt;0,+'ن-فرعي'!F409,"")</f>
        <v>45000</v>
      </c>
      <c r="E269" s="56">
        <f>IF('ن-فرعي'!G409&gt;0,+'ن-فرعي'!G409,"")</f>
        <v>45000</v>
      </c>
      <c r="F269" s="56">
        <f>IF('ن-فرعي'!H409&gt;0,+'ن-فرعي'!H409,"")</f>
        <v>16012.800000000001</v>
      </c>
      <c r="G269" s="56" t="str">
        <f>IF('ن-فرعي'!I409&gt;0,+'ن-فرعي'!I409,"")</f>
        <v/>
      </c>
      <c r="H269" s="148">
        <f>IF('ن-فرعي'!J409&gt;0,+'ن-فرعي'!J409,"")</f>
        <v>20000</v>
      </c>
      <c r="I269" s="112">
        <f t="shared" si="42"/>
        <v>0.44444444444444442</v>
      </c>
    </row>
    <row r="270" spans="2:10" s="46" customFormat="1" x14ac:dyDescent="0.2">
      <c r="B270" s="218"/>
      <c r="C270" s="57" t="s">
        <v>571</v>
      </c>
      <c r="D270" s="56" t="str">
        <f>IF('ن-فرعي'!F410&gt;0,+'ن-فرعي'!F410,"")</f>
        <v/>
      </c>
      <c r="E270" s="56" t="str">
        <f>IF('ن-فرعي'!G410&gt;0,+'ن-فرعي'!G410,"")</f>
        <v/>
      </c>
      <c r="F270" s="56">
        <f>IF('ن-فرعي'!H410&gt;0,+'ن-فرعي'!H410,"")</f>
        <v>22186.499999999993</v>
      </c>
      <c r="G270" s="56" t="str">
        <f>IF('ن-فرعي'!I410&gt;0,+'ن-فرعي'!I410,"")</f>
        <v/>
      </c>
      <c r="H270" s="148">
        <f>IF('ن-فرعي'!J410&gt;0,+'ن-فرعي'!J410,"")</f>
        <v>25000</v>
      </c>
      <c r="I270" s="112" t="str">
        <f t="shared" si="42"/>
        <v/>
      </c>
      <c r="J270" s="15"/>
    </row>
    <row r="271" spans="2:10" x14ac:dyDescent="0.2">
      <c r="B271" s="217" t="str">
        <f>IF('ن-فرعي'!D411&gt;0,'ن-فرعي'!D411,"")</f>
        <v/>
      </c>
      <c r="C271" s="50" t="s">
        <v>572</v>
      </c>
      <c r="D271" s="56">
        <f>IF('ن-فرعي'!F411&gt;0,+'ن-فرعي'!F411,"")</f>
        <v>100000</v>
      </c>
      <c r="E271" s="56">
        <f>IF('ن-فرعي'!G411&gt;0,+'ن-فرعي'!G411,"")</f>
        <v>108000</v>
      </c>
      <c r="F271" s="56">
        <f>IF('ن-فرعي'!H411&gt;0,+'ن-فرعي'!H411,"")</f>
        <v>92311.3</v>
      </c>
      <c r="G271" s="56" t="str">
        <f>IF('ن-فرعي'!I411&gt;0,+'ن-فرعي'!I411,"")</f>
        <v/>
      </c>
      <c r="H271" s="148">
        <f>IF('ن-فرعي'!J411&gt;0,+'ن-فرعي'!J411,"")</f>
        <v>100000</v>
      </c>
      <c r="I271" s="112">
        <f t="shared" si="42"/>
        <v>1</v>
      </c>
    </row>
    <row r="272" spans="2:10" s="46" customFormat="1" x14ac:dyDescent="0.2">
      <c r="B272" s="218"/>
      <c r="C272" s="57" t="s">
        <v>573</v>
      </c>
      <c r="D272" s="56" t="str">
        <f>IF('ن-فرعي'!F412&gt;0,+'ن-فرعي'!F412,"")</f>
        <v/>
      </c>
      <c r="E272" s="56" t="str">
        <f>IF('ن-فرعي'!G412&gt;0,+'ن-فرعي'!G412,"")</f>
        <v/>
      </c>
      <c r="F272" s="56">
        <f>IF('ن-فرعي'!H412&gt;0,+'ن-فرعي'!H412,"")</f>
        <v>15245</v>
      </c>
      <c r="G272" s="56" t="str">
        <f>IF('ن-فرعي'!I412&gt;0,+'ن-فرعي'!I412,"")</f>
        <v/>
      </c>
      <c r="H272" s="148">
        <f>IF('ن-فرعي'!J412&gt;0,+'ن-فرعي'!J412,"")</f>
        <v>20000</v>
      </c>
      <c r="I272" s="112" t="str">
        <f t="shared" si="42"/>
        <v/>
      </c>
      <c r="J272" s="15"/>
    </row>
    <row r="273" spans="2:10" s="46" customFormat="1" x14ac:dyDescent="0.2">
      <c r="B273" s="432" t="s">
        <v>634</v>
      </c>
      <c r="C273" s="433"/>
      <c r="D273" s="251">
        <f>SUM(D264:D272)</f>
        <v>1120000</v>
      </c>
      <c r="E273" s="251">
        <f t="shared" ref="E273:H273" si="43">SUM(E264:E272)</f>
        <v>1543000</v>
      </c>
      <c r="F273" s="251">
        <f t="shared" si="43"/>
        <v>1503386.7000000002</v>
      </c>
      <c r="G273" s="251">
        <f t="shared" si="43"/>
        <v>0</v>
      </c>
      <c r="H273" s="251">
        <f t="shared" si="43"/>
        <v>1500000</v>
      </c>
      <c r="I273" s="112">
        <f t="shared" si="42"/>
        <v>1.3392857142857142</v>
      </c>
      <c r="J273" s="15"/>
    </row>
    <row r="274" spans="2:10" ht="15" thickBot="1" x14ac:dyDescent="0.25">
      <c r="B274" s="475" t="s">
        <v>658</v>
      </c>
      <c r="C274" s="476"/>
      <c r="D274" s="232">
        <f>D262+D273</f>
        <v>11620000</v>
      </c>
      <c r="E274" s="232">
        <f t="shared" ref="E274:H274" si="44">E262+E273</f>
        <v>12043000</v>
      </c>
      <c r="F274" s="232">
        <f t="shared" si="44"/>
        <v>3123117.1639999999</v>
      </c>
      <c r="G274" s="232">
        <f t="shared" si="44"/>
        <v>475436.56599999999</v>
      </c>
      <c r="H274" s="232">
        <f t="shared" si="44"/>
        <v>10000000</v>
      </c>
      <c r="I274" s="196">
        <f>IFERROR(H274/D274,"")</f>
        <v>0.86058519793459554</v>
      </c>
    </row>
    <row r="276" spans="2:10" x14ac:dyDescent="0.2">
      <c r="D276" s="253">
        <f>D227+D238+D274</f>
        <v>64000000</v>
      </c>
      <c r="E276" s="253">
        <f>E227+E238+E274</f>
        <v>64000000</v>
      </c>
      <c r="F276" s="253">
        <f>F227+F238+F274</f>
        <v>47569240.414999999</v>
      </c>
      <c r="G276" s="253">
        <f>G227+G238+G274</f>
        <v>2785791.5170000005</v>
      </c>
      <c r="H276" s="253">
        <f>H227+H238+H274</f>
        <v>68814000</v>
      </c>
    </row>
    <row r="277" spans="2:10" x14ac:dyDescent="0.2">
      <c r="D277" s="253">
        <f>'ن-فرعي'!F417-'ن-مواد'!D276</f>
        <v>0</v>
      </c>
      <c r="E277" s="253">
        <f>'ن-فرعي'!G417-'ن-مواد'!E276</f>
        <v>0</v>
      </c>
      <c r="F277" s="253">
        <f>'ن-فرعي'!H417-'ن-مواد'!F276</f>
        <v>0</v>
      </c>
      <c r="G277" s="253">
        <f>'ن-فرعي'!I417-'ن-مواد'!G276</f>
        <v>0</v>
      </c>
      <c r="H277" s="253">
        <f>'ن-فرعي'!J417-'ن-مواد'!H276</f>
        <v>0</v>
      </c>
      <c r="I277" s="252"/>
      <c r="J277" s="252"/>
    </row>
  </sheetData>
  <mergeCells count="78">
    <mergeCell ref="B117:I117"/>
    <mergeCell ref="B120:I120"/>
    <mergeCell ref="B137:C137"/>
    <mergeCell ref="B133:C133"/>
    <mergeCell ref="B119:C119"/>
    <mergeCell ref="B122:C122"/>
    <mergeCell ref="B123:C123"/>
    <mergeCell ref="B116:C116"/>
    <mergeCell ref="B91:C91"/>
    <mergeCell ref="B52:I52"/>
    <mergeCell ref="B67:I67"/>
    <mergeCell ref="B92:I92"/>
    <mergeCell ref="B114:I114"/>
    <mergeCell ref="B113:C113"/>
    <mergeCell ref="B66:C66"/>
    <mergeCell ref="B24:C24"/>
    <mergeCell ref="B31:C31"/>
    <mergeCell ref="B51:C51"/>
    <mergeCell ref="B5:I5"/>
    <mergeCell ref="B25:I25"/>
    <mergeCell ref="B32:I32"/>
    <mergeCell ref="B4:I4"/>
    <mergeCell ref="B2:B3"/>
    <mergeCell ref="C2:C3"/>
    <mergeCell ref="H3:I3"/>
    <mergeCell ref="D3:G3"/>
    <mergeCell ref="B1:I1"/>
    <mergeCell ref="B194:C194"/>
    <mergeCell ref="B179:C179"/>
    <mergeCell ref="B227:C227"/>
    <mergeCell ref="B211:C211"/>
    <mergeCell ref="B172:I172"/>
    <mergeCell ref="B180:I180"/>
    <mergeCell ref="B195:I195"/>
    <mergeCell ref="B206:C206"/>
    <mergeCell ref="B207:I207"/>
    <mergeCell ref="B144:I144"/>
    <mergeCell ref="B151:I151"/>
    <mergeCell ref="B165:I165"/>
    <mergeCell ref="B170:C170"/>
    <mergeCell ref="B169:C169"/>
    <mergeCell ref="B153:C153"/>
    <mergeCell ref="B150:C150"/>
    <mergeCell ref="B164:C164"/>
    <mergeCell ref="B163:C163"/>
    <mergeCell ref="B124:I124"/>
    <mergeCell ref="B241:I241"/>
    <mergeCell ref="B125:I125"/>
    <mergeCell ref="B134:I134"/>
    <mergeCell ref="B166:I166"/>
    <mergeCell ref="B212:I212"/>
    <mergeCell ref="B223:I223"/>
    <mergeCell ref="B159:C159"/>
    <mergeCell ref="B228:I228"/>
    <mergeCell ref="B138:I138"/>
    <mergeCell ref="B143:C143"/>
    <mergeCell ref="B262:C262"/>
    <mergeCell ref="B237:C237"/>
    <mergeCell ref="D240:G240"/>
    <mergeCell ref="H240:I240"/>
    <mergeCell ref="B240:C240"/>
    <mergeCell ref="B238:C238"/>
    <mergeCell ref="B274:C274"/>
    <mergeCell ref="B263:I263"/>
    <mergeCell ref="B273:C273"/>
    <mergeCell ref="H229:I229"/>
    <mergeCell ref="B154:I154"/>
    <mergeCell ref="B160:I160"/>
    <mergeCell ref="B239:I239"/>
    <mergeCell ref="B231:I231"/>
    <mergeCell ref="B242:I242"/>
    <mergeCell ref="B230:I230"/>
    <mergeCell ref="B229:C229"/>
    <mergeCell ref="D229:G229"/>
    <mergeCell ref="B226:C226"/>
    <mergeCell ref="B225:C225"/>
    <mergeCell ref="B222:C222"/>
    <mergeCell ref="B171:I171"/>
  </mergeCells>
  <conditionalFormatting sqref="B1:I274">
    <cfRule type="containsBlanks" dxfId="32" priority="1">
      <formula>LEN(TRIM(B1))=0</formula>
    </cfRule>
  </conditionalFormatting>
  <pageMargins left="0.19685039370078741" right="0.19685039370078741" top="0.78740157480314965" bottom="0.27559055118110237" header="0.31496062992125984" footer="0.11811023622047245"/>
  <pageSetup paperSize="9" scale="67" orientation="portrait" r:id="rId1"/>
  <headerFooter>
    <oddFooter xml:space="preserve">&amp;C&amp;P+8
&amp;R
</oddFooter>
  </headerFooter>
  <rowBreaks count="4" manualBreakCount="4">
    <brk id="51" max="16383" man="1"/>
    <brk id="91" max="16383" man="1"/>
    <brk id="143" max="16383" man="1"/>
    <brk id="194" max="16383" man="1"/>
  </rowBreaks>
  <ignoredErrors>
    <ignoredError sqref="D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B1:Q213"/>
  <sheetViews>
    <sheetView rightToLeft="1" zoomScaleNormal="100" workbookViewId="0">
      <pane ySplit="3" topLeftCell="A157" activePane="bottomLeft" state="frozen"/>
      <selection pane="bottomLeft" activeCell="J165" sqref="J165"/>
    </sheetView>
  </sheetViews>
  <sheetFormatPr defaultRowHeight="14.25" x14ac:dyDescent="0.2"/>
  <cols>
    <col min="1" max="1" width="9" customWidth="1"/>
    <col min="2" max="2" width="4" style="9" bestFit="1" customWidth="1"/>
    <col min="3" max="3" width="2.75" style="9" bestFit="1" customWidth="1"/>
    <col min="4" max="4" width="9" style="14" bestFit="1" customWidth="1"/>
    <col min="5" max="5" width="45.125" style="9" bestFit="1" customWidth="1"/>
    <col min="6" max="8" width="7.625" style="9" bestFit="1" customWidth="1"/>
    <col min="9" max="9" width="4.5" style="207" bestFit="1" customWidth="1"/>
    <col min="10" max="10" width="12.75" bestFit="1" customWidth="1"/>
    <col min="11" max="11" width="11.25" bestFit="1" customWidth="1"/>
    <col min="12" max="12" width="22.125" bestFit="1" customWidth="1"/>
    <col min="13" max="13" width="7.625" style="46" bestFit="1" customWidth="1"/>
    <col min="14" max="14" width="7.625" bestFit="1" customWidth="1"/>
    <col min="15" max="15" width="7.75" bestFit="1" customWidth="1"/>
    <col min="16" max="17" width="9" style="46" customWidth="1"/>
  </cols>
  <sheetData>
    <row r="1" spans="2:15" s="198" customFormat="1" ht="15.75" x14ac:dyDescent="0.2">
      <c r="B1" s="502" t="s">
        <v>274</v>
      </c>
      <c r="C1" s="503"/>
      <c r="D1" s="423" t="s">
        <v>666</v>
      </c>
      <c r="E1" s="423"/>
      <c r="F1" s="423"/>
      <c r="G1" s="423"/>
      <c r="H1" s="423"/>
      <c r="I1" s="424"/>
    </row>
    <row r="2" spans="2:15" s="197" customFormat="1" ht="12.75" x14ac:dyDescent="0.2">
      <c r="B2" s="504"/>
      <c r="C2" s="505"/>
      <c r="D2" s="506" t="s">
        <v>339</v>
      </c>
      <c r="E2" s="506" t="s">
        <v>340</v>
      </c>
      <c r="F2" s="292" t="s">
        <v>603</v>
      </c>
      <c r="G2" s="292" t="s">
        <v>605</v>
      </c>
      <c r="H2" s="292" t="s">
        <v>603</v>
      </c>
      <c r="I2" s="303" t="s">
        <v>651</v>
      </c>
    </row>
    <row r="3" spans="2:15" s="197" customFormat="1" ht="12.75" x14ac:dyDescent="0.2">
      <c r="B3" s="504"/>
      <c r="C3" s="505"/>
      <c r="D3" s="506"/>
      <c r="E3" s="506"/>
      <c r="F3" s="419">
        <v>2019</v>
      </c>
      <c r="G3" s="419"/>
      <c r="H3" s="420">
        <v>2020</v>
      </c>
      <c r="I3" s="421"/>
    </row>
    <row r="4" spans="2:15" x14ac:dyDescent="0.2">
      <c r="B4" s="407" t="s">
        <v>636</v>
      </c>
      <c r="C4" s="408"/>
      <c r="D4" s="408"/>
      <c r="E4" s="408"/>
      <c r="F4" s="408"/>
      <c r="G4" s="408"/>
      <c r="H4" s="408"/>
      <c r="I4" s="409"/>
    </row>
    <row r="5" spans="2:15" x14ac:dyDescent="0.2">
      <c r="B5" s="462" t="s">
        <v>424</v>
      </c>
      <c r="C5" s="463"/>
      <c r="D5" s="463"/>
      <c r="E5" s="463"/>
      <c r="F5" s="463"/>
      <c r="G5" s="463"/>
      <c r="H5" s="463"/>
      <c r="I5" s="464"/>
    </row>
    <row r="6" spans="2:15" x14ac:dyDescent="0.2">
      <c r="B6" s="498">
        <v>1</v>
      </c>
      <c r="C6" s="500" t="s">
        <v>217</v>
      </c>
      <c r="D6" s="500"/>
      <c r="E6" s="500"/>
      <c r="F6" s="500"/>
      <c r="G6" s="500"/>
      <c r="H6" s="500"/>
      <c r="I6" s="501"/>
      <c r="K6" s="280"/>
      <c r="L6" s="480" t="s">
        <v>574</v>
      </c>
      <c r="M6" s="480"/>
      <c r="N6" s="480"/>
      <c r="O6" s="480"/>
    </row>
    <row r="7" spans="2:15" x14ac:dyDescent="0.2">
      <c r="B7" s="498"/>
      <c r="C7" s="499">
        <v>2</v>
      </c>
      <c r="D7" s="29">
        <v>10102001</v>
      </c>
      <c r="E7" s="6" t="s">
        <v>150</v>
      </c>
      <c r="F7" s="301">
        <f>L7-F198-F199-F201-F203</f>
        <v>5745000</v>
      </c>
      <c r="G7" s="301">
        <f>N7-G198-G199-G201-G203</f>
        <v>7213826.5920000002</v>
      </c>
      <c r="H7" s="137">
        <f>O7-H198-H199-H201-H203</f>
        <v>7300000</v>
      </c>
      <c r="I7" s="112">
        <f t="shared" ref="I7:I12" si="0">IFERROR(H7/F7,"")</f>
        <v>1.2706701479547433</v>
      </c>
      <c r="J7" s="352" t="s">
        <v>528</v>
      </c>
      <c r="L7" s="349">
        <v>6000000</v>
      </c>
      <c r="M7" s="349"/>
      <c r="N7" s="349">
        <v>7446612.6919999998</v>
      </c>
      <c r="O7" s="47">
        <v>7570000</v>
      </c>
    </row>
    <row r="8" spans="2:15" x14ac:dyDescent="0.2">
      <c r="B8" s="498"/>
      <c r="C8" s="499"/>
      <c r="D8" s="29">
        <v>10102002</v>
      </c>
      <c r="E8" s="6" t="s">
        <v>151</v>
      </c>
      <c r="F8" s="301">
        <v>1000000</v>
      </c>
      <c r="G8" s="301">
        <v>992435</v>
      </c>
      <c r="H8" s="137">
        <v>1100000</v>
      </c>
      <c r="I8" s="112">
        <f t="shared" si="0"/>
        <v>1.1000000000000001</v>
      </c>
    </row>
    <row r="9" spans="2:15" x14ac:dyDescent="0.2">
      <c r="B9" s="498"/>
      <c r="C9" s="499"/>
      <c r="D9" s="29">
        <v>10102004</v>
      </c>
      <c r="E9" s="6" t="s">
        <v>152</v>
      </c>
      <c r="F9" s="301">
        <v>80000</v>
      </c>
      <c r="G9" s="301">
        <v>64320</v>
      </c>
      <c r="H9" s="137">
        <v>92000</v>
      </c>
      <c r="I9" s="112">
        <f t="shared" si="0"/>
        <v>1.1499999999999999</v>
      </c>
    </row>
    <row r="10" spans="2:15" x14ac:dyDescent="0.2">
      <c r="B10" s="498"/>
      <c r="C10" s="499"/>
      <c r="D10" s="29">
        <v>10102005</v>
      </c>
      <c r="E10" s="6" t="s">
        <v>320</v>
      </c>
      <c r="F10" s="301">
        <v>8000</v>
      </c>
      <c r="G10" s="301">
        <v>1795</v>
      </c>
      <c r="H10" s="137">
        <v>4000</v>
      </c>
      <c r="I10" s="112">
        <f t="shared" si="0"/>
        <v>0.5</v>
      </c>
    </row>
    <row r="11" spans="2:15" x14ac:dyDescent="0.2">
      <c r="B11" s="498"/>
      <c r="C11" s="499"/>
      <c r="D11" s="29">
        <v>10102006</v>
      </c>
      <c r="E11" s="6" t="s">
        <v>153</v>
      </c>
      <c r="F11" s="301">
        <v>350000</v>
      </c>
      <c r="G11" s="301">
        <v>332582.95</v>
      </c>
      <c r="H11" s="137">
        <v>400000</v>
      </c>
      <c r="I11" s="112">
        <f t="shared" si="0"/>
        <v>1.1428571428571428</v>
      </c>
    </row>
    <row r="12" spans="2:15" x14ac:dyDescent="0.2">
      <c r="B12" s="498"/>
      <c r="C12" s="497" t="s">
        <v>23</v>
      </c>
      <c r="D12" s="497"/>
      <c r="E12" s="497"/>
      <c r="F12" s="149">
        <f>SUM(F7:F11)</f>
        <v>7183000</v>
      </c>
      <c r="G12" s="149">
        <f>SUM(G7:G11)</f>
        <v>8604959.5419999994</v>
      </c>
      <c r="H12" s="149">
        <f>SUM(H7:H11)</f>
        <v>8896000</v>
      </c>
      <c r="I12" s="112">
        <f t="shared" si="0"/>
        <v>1.2384797438396213</v>
      </c>
    </row>
    <row r="13" spans="2:15" x14ac:dyDescent="0.2">
      <c r="B13" s="498"/>
      <c r="C13" s="500" t="s">
        <v>218</v>
      </c>
      <c r="D13" s="500"/>
      <c r="E13" s="500"/>
      <c r="F13" s="500"/>
      <c r="G13" s="500"/>
      <c r="H13" s="500"/>
      <c r="I13" s="501"/>
    </row>
    <row r="14" spans="2:15" x14ac:dyDescent="0.2">
      <c r="B14" s="498"/>
      <c r="C14" s="499">
        <v>3</v>
      </c>
      <c r="D14" s="29">
        <v>10103001</v>
      </c>
      <c r="E14" s="6" t="s">
        <v>154</v>
      </c>
      <c r="F14" s="301">
        <v>500</v>
      </c>
      <c r="G14" s="301">
        <v>300</v>
      </c>
      <c r="H14" s="137">
        <v>500</v>
      </c>
      <c r="I14" s="112">
        <f>IFERROR(H14/F14,"")</f>
        <v>1</v>
      </c>
    </row>
    <row r="15" spans="2:15" x14ac:dyDescent="0.2">
      <c r="B15" s="498"/>
      <c r="C15" s="499"/>
      <c r="D15" s="29">
        <v>10103002</v>
      </c>
      <c r="E15" s="6" t="s">
        <v>155</v>
      </c>
      <c r="F15" s="301">
        <v>50</v>
      </c>
      <c r="G15" s="301">
        <v>29</v>
      </c>
      <c r="H15" s="137">
        <v>50</v>
      </c>
      <c r="I15" s="112">
        <f>IFERROR(H15/F15,"")</f>
        <v>1</v>
      </c>
    </row>
    <row r="16" spans="2:15" x14ac:dyDescent="0.2">
      <c r="B16" s="498"/>
      <c r="C16" s="499"/>
      <c r="D16" s="29">
        <v>10103006</v>
      </c>
      <c r="E16" s="6" t="s">
        <v>156</v>
      </c>
      <c r="F16" s="301">
        <v>900</v>
      </c>
      <c r="G16" s="301">
        <v>1054</v>
      </c>
      <c r="H16" s="137">
        <v>1000</v>
      </c>
      <c r="I16" s="112">
        <f>IFERROR(H16/F16,"")</f>
        <v>1.1111111111111112</v>
      </c>
    </row>
    <row r="17" spans="2:15" x14ac:dyDescent="0.2">
      <c r="B17" s="498"/>
      <c r="C17" s="497" t="s">
        <v>23</v>
      </c>
      <c r="D17" s="497"/>
      <c r="E17" s="497"/>
      <c r="F17" s="149">
        <f>SUM(F14:F16)</f>
        <v>1450</v>
      </c>
      <c r="G17" s="149">
        <f>SUM(G14:G16)</f>
        <v>1383</v>
      </c>
      <c r="H17" s="149">
        <f>SUM(H14:H16)</f>
        <v>1550</v>
      </c>
      <c r="I17" s="112">
        <f>IFERROR(H17/F17,"")</f>
        <v>1.0689655172413792</v>
      </c>
    </row>
    <row r="18" spans="2:15" x14ac:dyDescent="0.2">
      <c r="B18" s="498"/>
      <c r="C18" s="500" t="s">
        <v>219</v>
      </c>
      <c r="D18" s="500"/>
      <c r="E18" s="500"/>
      <c r="F18" s="500"/>
      <c r="G18" s="500"/>
      <c r="H18" s="500"/>
      <c r="I18" s="501"/>
      <c r="K18" s="15"/>
      <c r="L18" s="480" t="s">
        <v>574</v>
      </c>
      <c r="M18" s="480"/>
      <c r="N18" s="480"/>
      <c r="O18" s="480"/>
    </row>
    <row r="19" spans="2:15" x14ac:dyDescent="0.2">
      <c r="B19" s="498"/>
      <c r="C19" s="499">
        <v>4</v>
      </c>
      <c r="D19" s="29">
        <v>10104001</v>
      </c>
      <c r="E19" s="6" t="s">
        <v>157</v>
      </c>
      <c r="F19" s="301">
        <f>L19-F197-F200-F202-F204</f>
        <v>5635000</v>
      </c>
      <c r="G19" s="301">
        <f>N19-G197-G200-G202-G204</f>
        <v>5329325.33</v>
      </c>
      <c r="H19" s="137">
        <f>O19-H197-H200-H202-H204</f>
        <v>5610000</v>
      </c>
      <c r="I19" s="112">
        <f t="shared" ref="I19:I24" si="1">IFERROR(H19/F19,"")</f>
        <v>0.99556344276841169</v>
      </c>
      <c r="K19" s="351"/>
      <c r="L19" s="349">
        <v>6500000</v>
      </c>
      <c r="M19" s="349"/>
      <c r="N19" s="349">
        <v>6599925.9299999997</v>
      </c>
      <c r="O19" s="47">
        <v>6830000</v>
      </c>
    </row>
    <row r="20" spans="2:15" x14ac:dyDescent="0.2">
      <c r="B20" s="498"/>
      <c r="C20" s="499"/>
      <c r="D20" s="29">
        <v>10104002</v>
      </c>
      <c r="E20" s="6" t="s">
        <v>158</v>
      </c>
      <c r="F20" s="301">
        <v>1100000</v>
      </c>
      <c r="G20" s="301">
        <v>1159307.78</v>
      </c>
      <c r="H20" s="137">
        <v>1200000</v>
      </c>
      <c r="I20" s="112">
        <f t="shared" si="1"/>
        <v>1.0909090909090908</v>
      </c>
      <c r="K20" s="226"/>
    </row>
    <row r="21" spans="2:15" x14ac:dyDescent="0.2">
      <c r="B21" s="498"/>
      <c r="C21" s="499"/>
      <c r="D21" s="29">
        <v>10104004</v>
      </c>
      <c r="E21" s="6" t="s">
        <v>159</v>
      </c>
      <c r="F21" s="301">
        <v>70000</v>
      </c>
      <c r="G21" s="301">
        <v>46399.3</v>
      </c>
      <c r="H21" s="137">
        <v>50000</v>
      </c>
      <c r="I21" s="112">
        <f t="shared" si="1"/>
        <v>0.7142857142857143</v>
      </c>
    </row>
    <row r="22" spans="2:15" x14ac:dyDescent="0.2">
      <c r="B22" s="498"/>
      <c r="C22" s="499"/>
      <c r="D22" s="29">
        <v>10104005</v>
      </c>
      <c r="E22" s="6" t="s">
        <v>321</v>
      </c>
      <c r="F22" s="301">
        <v>80000</v>
      </c>
      <c r="G22" s="301">
        <v>61766.875999999997</v>
      </c>
      <c r="H22" s="137">
        <v>70000</v>
      </c>
      <c r="I22" s="112">
        <f t="shared" si="1"/>
        <v>0.875</v>
      </c>
    </row>
    <row r="23" spans="2:15" x14ac:dyDescent="0.2">
      <c r="B23" s="498"/>
      <c r="C23" s="499"/>
      <c r="D23" s="29">
        <v>10104006</v>
      </c>
      <c r="E23" s="6" t="s">
        <v>160</v>
      </c>
      <c r="F23" s="301">
        <v>200000</v>
      </c>
      <c r="G23" s="301">
        <v>205440.26800000001</v>
      </c>
      <c r="H23" s="137">
        <v>210000</v>
      </c>
      <c r="I23" s="112">
        <f t="shared" si="1"/>
        <v>1.05</v>
      </c>
    </row>
    <row r="24" spans="2:15" x14ac:dyDescent="0.2">
      <c r="B24" s="498"/>
      <c r="C24" s="497" t="s">
        <v>23</v>
      </c>
      <c r="D24" s="497"/>
      <c r="E24" s="497"/>
      <c r="F24" s="149">
        <f>SUM(F19:F23)</f>
        <v>7085000</v>
      </c>
      <c r="G24" s="149">
        <f>SUM(G19:G23)</f>
        <v>6802239.5540000005</v>
      </c>
      <c r="H24" s="149">
        <f>SUM(H19:H23)</f>
        <v>7140000</v>
      </c>
      <c r="I24" s="112">
        <f t="shared" si="1"/>
        <v>1.0077628793225124</v>
      </c>
    </row>
    <row r="25" spans="2:15" x14ac:dyDescent="0.2">
      <c r="B25" s="498"/>
      <c r="C25" s="500" t="s">
        <v>220</v>
      </c>
      <c r="D25" s="500"/>
      <c r="E25" s="500"/>
      <c r="F25" s="500"/>
      <c r="G25" s="500"/>
      <c r="H25" s="500"/>
      <c r="I25" s="501"/>
    </row>
    <row r="26" spans="2:15" x14ac:dyDescent="0.2">
      <c r="B26" s="498"/>
      <c r="C26" s="499">
        <v>7</v>
      </c>
      <c r="D26" s="29">
        <v>10107001</v>
      </c>
      <c r="E26" s="6" t="s">
        <v>161</v>
      </c>
      <c r="F26" s="301">
        <v>1650000</v>
      </c>
      <c r="G26" s="301">
        <v>914290.16</v>
      </c>
      <c r="H26" s="137">
        <v>930000</v>
      </c>
      <c r="I26" s="112">
        <f t="shared" ref="I26:I32" si="2">IFERROR(H26/F26,"")</f>
        <v>0.5636363636363636</v>
      </c>
    </row>
    <row r="27" spans="2:15" x14ac:dyDescent="0.2">
      <c r="B27" s="498"/>
      <c r="C27" s="499"/>
      <c r="D27" s="29">
        <v>10107002</v>
      </c>
      <c r="E27" s="6" t="s">
        <v>162</v>
      </c>
      <c r="F27" s="301">
        <v>250000</v>
      </c>
      <c r="G27" s="301">
        <v>145583</v>
      </c>
      <c r="H27" s="137">
        <v>155000</v>
      </c>
      <c r="I27" s="112">
        <f t="shared" si="2"/>
        <v>0.62</v>
      </c>
    </row>
    <row r="28" spans="2:15" x14ac:dyDescent="0.2">
      <c r="B28" s="498"/>
      <c r="C28" s="499"/>
      <c r="D28" s="29">
        <v>10107003</v>
      </c>
      <c r="E28" s="6" t="s">
        <v>163</v>
      </c>
      <c r="F28" s="301">
        <v>120000</v>
      </c>
      <c r="G28" s="301">
        <v>69825</v>
      </c>
      <c r="H28" s="137">
        <v>70000</v>
      </c>
      <c r="I28" s="112">
        <f t="shared" si="2"/>
        <v>0.58333333333333337</v>
      </c>
    </row>
    <row r="29" spans="2:15" x14ac:dyDescent="0.2">
      <c r="B29" s="498"/>
      <c r="C29" s="499"/>
      <c r="D29" s="29">
        <v>10107004</v>
      </c>
      <c r="E29" s="6" t="s">
        <v>164</v>
      </c>
      <c r="F29" s="301">
        <v>75000</v>
      </c>
      <c r="G29" s="301">
        <v>36900</v>
      </c>
      <c r="H29" s="137">
        <v>40000</v>
      </c>
      <c r="I29" s="112">
        <f t="shared" si="2"/>
        <v>0.53333333333333333</v>
      </c>
    </row>
    <row r="30" spans="2:15" x14ac:dyDescent="0.2">
      <c r="B30" s="498"/>
      <c r="C30" s="499"/>
      <c r="D30" s="29">
        <v>10107005</v>
      </c>
      <c r="E30" s="6" t="s">
        <v>165</v>
      </c>
      <c r="F30" s="301">
        <v>15000</v>
      </c>
      <c r="G30" s="301">
        <v>8420</v>
      </c>
      <c r="H30" s="137">
        <v>10000</v>
      </c>
      <c r="I30" s="112">
        <f t="shared" si="2"/>
        <v>0.66666666666666663</v>
      </c>
    </row>
    <row r="31" spans="2:15" x14ac:dyDescent="0.2">
      <c r="B31" s="498"/>
      <c r="C31" s="499"/>
      <c r="D31" s="29">
        <v>10107006</v>
      </c>
      <c r="E31" s="6" t="s">
        <v>166</v>
      </c>
      <c r="F31" s="301">
        <v>25000</v>
      </c>
      <c r="G31" s="301">
        <v>23620.85</v>
      </c>
      <c r="H31" s="137">
        <v>25000</v>
      </c>
      <c r="I31" s="112">
        <f t="shared" si="2"/>
        <v>1</v>
      </c>
    </row>
    <row r="32" spans="2:15" x14ac:dyDescent="0.2">
      <c r="B32" s="498"/>
      <c r="C32" s="497" t="s">
        <v>23</v>
      </c>
      <c r="D32" s="497"/>
      <c r="E32" s="497"/>
      <c r="F32" s="149">
        <f>SUM(F26:F31)</f>
        <v>2135000</v>
      </c>
      <c r="G32" s="149">
        <f>SUM(G26:G31)</f>
        <v>1198639.0100000002</v>
      </c>
      <c r="H32" s="149">
        <f>SUM(H26:H31)</f>
        <v>1230000</v>
      </c>
      <c r="I32" s="112">
        <f t="shared" si="2"/>
        <v>0.57611241217798592</v>
      </c>
    </row>
    <row r="33" spans="2:9" x14ac:dyDescent="0.2">
      <c r="B33" s="498"/>
      <c r="C33" s="500" t="s">
        <v>221</v>
      </c>
      <c r="D33" s="500"/>
      <c r="E33" s="500"/>
      <c r="F33" s="500"/>
      <c r="G33" s="500"/>
      <c r="H33" s="500"/>
      <c r="I33" s="501"/>
    </row>
    <row r="34" spans="2:9" x14ac:dyDescent="0.2">
      <c r="B34" s="498"/>
      <c r="C34" s="499">
        <v>8</v>
      </c>
      <c r="D34" s="29">
        <v>10108001</v>
      </c>
      <c r="E34" s="6" t="s">
        <v>167</v>
      </c>
      <c r="F34" s="301">
        <v>2000000</v>
      </c>
      <c r="G34" s="301">
        <v>1535027.16</v>
      </c>
      <c r="H34" s="137">
        <v>1700000</v>
      </c>
      <c r="I34" s="112">
        <f t="shared" ref="I34:I40" si="3">IFERROR(H34/F34,"")</f>
        <v>0.85</v>
      </c>
    </row>
    <row r="35" spans="2:9" x14ac:dyDescent="0.2">
      <c r="B35" s="498"/>
      <c r="C35" s="499"/>
      <c r="D35" s="29">
        <v>10108002</v>
      </c>
      <c r="E35" s="6" t="s">
        <v>168</v>
      </c>
      <c r="F35" s="301">
        <v>220000</v>
      </c>
      <c r="G35" s="301">
        <v>190113.17800000001</v>
      </c>
      <c r="H35" s="137">
        <v>200000</v>
      </c>
      <c r="I35" s="112">
        <f t="shared" si="3"/>
        <v>0.90909090909090906</v>
      </c>
    </row>
    <row r="36" spans="2:9" x14ac:dyDescent="0.2">
      <c r="B36" s="498"/>
      <c r="C36" s="499"/>
      <c r="D36" s="29">
        <v>10108003</v>
      </c>
      <c r="E36" s="6" t="s">
        <v>169</v>
      </c>
      <c r="F36" s="301">
        <v>200000</v>
      </c>
      <c r="G36" s="301">
        <v>176609.8</v>
      </c>
      <c r="H36" s="137">
        <v>190000</v>
      </c>
      <c r="I36" s="112">
        <f t="shared" si="3"/>
        <v>0.95</v>
      </c>
    </row>
    <row r="37" spans="2:9" x14ac:dyDescent="0.2">
      <c r="B37" s="498"/>
      <c r="C37" s="499"/>
      <c r="D37" s="29">
        <v>10108004</v>
      </c>
      <c r="E37" s="6" t="s">
        <v>170</v>
      </c>
      <c r="F37" s="301">
        <v>150000</v>
      </c>
      <c r="G37" s="301">
        <v>143979</v>
      </c>
      <c r="H37" s="137">
        <v>150000</v>
      </c>
      <c r="I37" s="112">
        <f t="shared" si="3"/>
        <v>1</v>
      </c>
    </row>
    <row r="38" spans="2:9" x14ac:dyDescent="0.2">
      <c r="B38" s="498"/>
      <c r="C38" s="499"/>
      <c r="D38" s="29">
        <v>10108005</v>
      </c>
      <c r="E38" s="6" t="s">
        <v>171</v>
      </c>
      <c r="F38" s="301">
        <v>35000</v>
      </c>
      <c r="G38" s="301">
        <v>24460</v>
      </c>
      <c r="H38" s="137">
        <v>30000</v>
      </c>
      <c r="I38" s="112">
        <f t="shared" si="3"/>
        <v>0.8571428571428571</v>
      </c>
    </row>
    <row r="39" spans="2:9" x14ac:dyDescent="0.2">
      <c r="B39" s="498"/>
      <c r="C39" s="499"/>
      <c r="D39" s="29">
        <v>10108006</v>
      </c>
      <c r="E39" s="6" t="s">
        <v>172</v>
      </c>
      <c r="F39" s="301">
        <v>63000</v>
      </c>
      <c r="G39" s="301">
        <v>75573.284</v>
      </c>
      <c r="H39" s="137">
        <v>80000</v>
      </c>
      <c r="I39" s="112">
        <f t="shared" si="3"/>
        <v>1.2698412698412698</v>
      </c>
    </row>
    <row r="40" spans="2:9" x14ac:dyDescent="0.2">
      <c r="B40" s="498"/>
      <c r="C40" s="497" t="s">
        <v>23</v>
      </c>
      <c r="D40" s="497"/>
      <c r="E40" s="497"/>
      <c r="F40" s="149">
        <f>SUM(F34:F39)</f>
        <v>2668000</v>
      </c>
      <c r="G40" s="149">
        <f>SUM(G34:G39)</f>
        <v>2145762.4220000003</v>
      </c>
      <c r="H40" s="149">
        <f>SUM(H34:H39)</f>
        <v>2350000</v>
      </c>
      <c r="I40" s="112">
        <f t="shared" si="3"/>
        <v>0.88080959520239877</v>
      </c>
    </row>
    <row r="41" spans="2:9" x14ac:dyDescent="0.2">
      <c r="B41" s="498"/>
      <c r="C41" s="500" t="s">
        <v>222</v>
      </c>
      <c r="D41" s="500"/>
      <c r="E41" s="500"/>
      <c r="F41" s="500"/>
      <c r="G41" s="500"/>
      <c r="H41" s="500"/>
      <c r="I41" s="501"/>
    </row>
    <row r="42" spans="2:9" x14ac:dyDescent="0.2">
      <c r="B42" s="498"/>
      <c r="C42" s="499">
        <v>9</v>
      </c>
      <c r="D42" s="29">
        <v>10109001</v>
      </c>
      <c r="E42" s="6" t="s">
        <v>173</v>
      </c>
      <c r="F42" s="301">
        <v>50000</v>
      </c>
      <c r="G42" s="301">
        <v>0</v>
      </c>
      <c r="H42" s="137">
        <v>10000</v>
      </c>
      <c r="I42" s="112">
        <f t="shared" ref="I42:I48" si="4">IFERROR(H42/F42,"")</f>
        <v>0.2</v>
      </c>
    </row>
    <row r="43" spans="2:9" x14ac:dyDescent="0.2">
      <c r="B43" s="498"/>
      <c r="C43" s="499"/>
      <c r="D43" s="29">
        <v>10109002</v>
      </c>
      <c r="E43" s="6" t="s">
        <v>174</v>
      </c>
      <c r="F43" s="301">
        <v>15000</v>
      </c>
      <c r="G43" s="301">
        <v>0</v>
      </c>
      <c r="H43" s="137">
        <v>5000</v>
      </c>
      <c r="I43" s="112">
        <f t="shared" si="4"/>
        <v>0.33333333333333331</v>
      </c>
    </row>
    <row r="44" spans="2:9" x14ac:dyDescent="0.2">
      <c r="B44" s="498"/>
      <c r="C44" s="499"/>
      <c r="D44" s="29">
        <v>10109003</v>
      </c>
      <c r="E44" s="6" t="s">
        <v>175</v>
      </c>
      <c r="F44" s="301">
        <v>10000</v>
      </c>
      <c r="G44" s="301">
        <v>0</v>
      </c>
      <c r="H44" s="137">
        <v>5000</v>
      </c>
      <c r="I44" s="112">
        <f t="shared" si="4"/>
        <v>0.5</v>
      </c>
    </row>
    <row r="45" spans="2:9" x14ac:dyDescent="0.2">
      <c r="B45" s="498"/>
      <c r="C45" s="499"/>
      <c r="D45" s="29">
        <v>10109004</v>
      </c>
      <c r="E45" s="6" t="s">
        <v>236</v>
      </c>
      <c r="F45" s="301">
        <v>10000</v>
      </c>
      <c r="G45" s="301">
        <v>0</v>
      </c>
      <c r="H45" s="137">
        <v>5000</v>
      </c>
      <c r="I45" s="112">
        <f t="shared" si="4"/>
        <v>0.5</v>
      </c>
    </row>
    <row r="46" spans="2:9" x14ac:dyDescent="0.2">
      <c r="B46" s="498"/>
      <c r="C46" s="499"/>
      <c r="D46" s="29">
        <v>10109005</v>
      </c>
      <c r="E46" s="6" t="s">
        <v>237</v>
      </c>
      <c r="F46" s="301">
        <v>5000</v>
      </c>
      <c r="G46" s="301">
        <v>0</v>
      </c>
      <c r="H46" s="137">
        <v>5000</v>
      </c>
      <c r="I46" s="112">
        <f t="shared" si="4"/>
        <v>1</v>
      </c>
    </row>
    <row r="47" spans="2:9" x14ac:dyDescent="0.2">
      <c r="B47" s="498"/>
      <c r="C47" s="499"/>
      <c r="D47" s="29">
        <v>10109006</v>
      </c>
      <c r="E47" s="6" t="s">
        <v>238</v>
      </c>
      <c r="F47" s="301">
        <v>500</v>
      </c>
      <c r="G47" s="301">
        <v>0</v>
      </c>
      <c r="H47" s="137">
        <v>1000</v>
      </c>
      <c r="I47" s="112">
        <f t="shared" si="4"/>
        <v>2</v>
      </c>
    </row>
    <row r="48" spans="2:9" x14ac:dyDescent="0.2">
      <c r="B48" s="498"/>
      <c r="C48" s="497" t="s">
        <v>23</v>
      </c>
      <c r="D48" s="497"/>
      <c r="E48" s="497"/>
      <c r="F48" s="149">
        <f>SUM(F42:F47)</f>
        <v>90500</v>
      </c>
      <c r="G48" s="149">
        <f>SUM(G42:G47)</f>
        <v>0</v>
      </c>
      <c r="H48" s="149">
        <f>SUM(H42:H47)</f>
        <v>31000</v>
      </c>
      <c r="I48" s="112">
        <f t="shared" si="4"/>
        <v>0.34254143646408841</v>
      </c>
    </row>
    <row r="49" spans="2:9" x14ac:dyDescent="0.2">
      <c r="B49" s="498"/>
      <c r="C49" s="500" t="s">
        <v>223</v>
      </c>
      <c r="D49" s="500"/>
      <c r="E49" s="500"/>
      <c r="F49" s="500"/>
      <c r="G49" s="500"/>
      <c r="H49" s="500"/>
      <c r="I49" s="501"/>
    </row>
    <row r="50" spans="2:9" x14ac:dyDescent="0.2">
      <c r="B50" s="498"/>
      <c r="C50" s="499">
        <v>10</v>
      </c>
      <c r="D50" s="29">
        <v>10110001</v>
      </c>
      <c r="E50" s="6" t="s">
        <v>176</v>
      </c>
      <c r="F50" s="301">
        <v>90000</v>
      </c>
      <c r="G50" s="301">
        <v>59688</v>
      </c>
      <c r="H50" s="137">
        <v>90000</v>
      </c>
      <c r="I50" s="112">
        <f t="shared" ref="I50:I56" si="5">IFERROR(H50/F50,"")</f>
        <v>1</v>
      </c>
    </row>
    <row r="51" spans="2:9" x14ac:dyDescent="0.2">
      <c r="B51" s="498"/>
      <c r="C51" s="499"/>
      <c r="D51" s="29">
        <v>10110002</v>
      </c>
      <c r="E51" s="6" t="s">
        <v>177</v>
      </c>
      <c r="F51" s="301">
        <v>15000</v>
      </c>
      <c r="G51" s="301">
        <v>16300</v>
      </c>
      <c r="H51" s="137">
        <v>20000</v>
      </c>
      <c r="I51" s="112">
        <f t="shared" si="5"/>
        <v>1.3333333333333333</v>
      </c>
    </row>
    <row r="52" spans="2:9" x14ac:dyDescent="0.2">
      <c r="B52" s="498"/>
      <c r="C52" s="499"/>
      <c r="D52" s="29">
        <v>10110003</v>
      </c>
      <c r="E52" s="6" t="s">
        <v>178</v>
      </c>
      <c r="F52" s="301">
        <v>7500</v>
      </c>
      <c r="G52" s="301">
        <v>8150</v>
      </c>
      <c r="H52" s="137">
        <v>9000</v>
      </c>
      <c r="I52" s="112">
        <f t="shared" si="5"/>
        <v>1.2</v>
      </c>
    </row>
    <row r="53" spans="2:9" x14ac:dyDescent="0.2">
      <c r="B53" s="498"/>
      <c r="C53" s="499"/>
      <c r="D53" s="29">
        <v>10110004</v>
      </c>
      <c r="E53" s="6" t="s">
        <v>179</v>
      </c>
      <c r="F53" s="301">
        <v>5000</v>
      </c>
      <c r="G53" s="301">
        <v>3300</v>
      </c>
      <c r="H53" s="137">
        <v>5000</v>
      </c>
      <c r="I53" s="112">
        <f t="shared" si="5"/>
        <v>1</v>
      </c>
    </row>
    <row r="54" spans="2:9" x14ac:dyDescent="0.2">
      <c r="B54" s="498"/>
      <c r="C54" s="499"/>
      <c r="D54" s="29">
        <v>10110005</v>
      </c>
      <c r="E54" s="6" t="s">
        <v>180</v>
      </c>
      <c r="F54" s="301">
        <v>1000</v>
      </c>
      <c r="G54" s="301">
        <v>850</v>
      </c>
      <c r="H54" s="137">
        <v>1000</v>
      </c>
      <c r="I54" s="112">
        <f t="shared" si="5"/>
        <v>1</v>
      </c>
    </row>
    <row r="55" spans="2:9" x14ac:dyDescent="0.2">
      <c r="B55" s="498"/>
      <c r="C55" s="499"/>
      <c r="D55" s="29">
        <v>10110006</v>
      </c>
      <c r="E55" s="6" t="s">
        <v>181</v>
      </c>
      <c r="F55" s="301">
        <v>1000</v>
      </c>
      <c r="G55" s="301">
        <v>2098.5</v>
      </c>
      <c r="H55" s="137">
        <v>3000</v>
      </c>
      <c r="I55" s="112">
        <f t="shared" si="5"/>
        <v>3</v>
      </c>
    </row>
    <row r="56" spans="2:9" x14ac:dyDescent="0.2">
      <c r="B56" s="498"/>
      <c r="C56" s="497" t="s">
        <v>23</v>
      </c>
      <c r="D56" s="497"/>
      <c r="E56" s="497"/>
      <c r="F56" s="149">
        <f>SUM(F50:F55)</f>
        <v>119500</v>
      </c>
      <c r="G56" s="149">
        <f>SUM(G50:G55)</f>
        <v>90386.5</v>
      </c>
      <c r="H56" s="149">
        <f>SUM(H50:H55)</f>
        <v>128000</v>
      </c>
      <c r="I56" s="112">
        <f t="shared" si="5"/>
        <v>1.0711297071129706</v>
      </c>
    </row>
    <row r="57" spans="2:9" x14ac:dyDescent="0.2">
      <c r="B57" s="498"/>
      <c r="C57" s="500" t="s">
        <v>224</v>
      </c>
      <c r="D57" s="500"/>
      <c r="E57" s="500"/>
      <c r="F57" s="500"/>
      <c r="G57" s="500"/>
      <c r="H57" s="500"/>
      <c r="I57" s="501"/>
    </row>
    <row r="58" spans="2:9" x14ac:dyDescent="0.2">
      <c r="B58" s="498"/>
      <c r="C58" s="499">
        <v>11</v>
      </c>
      <c r="D58" s="29">
        <v>10111001</v>
      </c>
      <c r="E58" s="6" t="s">
        <v>182</v>
      </c>
      <c r="F58" s="301">
        <v>170000</v>
      </c>
      <c r="G58" s="301">
        <v>473383.89</v>
      </c>
      <c r="H58" s="137">
        <v>500000</v>
      </c>
      <c r="I58" s="112">
        <f t="shared" ref="I58:I63" si="6">IFERROR(H58/F58,"")</f>
        <v>2.9411764705882355</v>
      </c>
    </row>
    <row r="59" spans="2:9" x14ac:dyDescent="0.2">
      <c r="B59" s="498"/>
      <c r="C59" s="499"/>
      <c r="D59" s="29">
        <v>10111002</v>
      </c>
      <c r="E59" s="6" t="s">
        <v>183</v>
      </c>
      <c r="F59" s="301">
        <v>12000</v>
      </c>
      <c r="G59" s="301">
        <v>33667.32</v>
      </c>
      <c r="H59" s="137">
        <v>40000</v>
      </c>
      <c r="I59" s="112">
        <f t="shared" si="6"/>
        <v>3.3333333333333335</v>
      </c>
    </row>
    <row r="60" spans="2:9" x14ac:dyDescent="0.2">
      <c r="B60" s="498"/>
      <c r="C60" s="499"/>
      <c r="D60" s="29">
        <v>10111003</v>
      </c>
      <c r="E60" s="6" t="s">
        <v>184</v>
      </c>
      <c r="F60" s="301">
        <v>3000</v>
      </c>
      <c r="G60" s="301">
        <v>7336.2</v>
      </c>
      <c r="H60" s="137">
        <v>10000</v>
      </c>
      <c r="I60" s="112">
        <f t="shared" si="6"/>
        <v>3.3333333333333335</v>
      </c>
    </row>
    <row r="61" spans="2:9" x14ac:dyDescent="0.2">
      <c r="B61" s="498"/>
      <c r="C61" s="499"/>
      <c r="D61" s="29">
        <v>10111004</v>
      </c>
      <c r="E61" s="6" t="s">
        <v>185</v>
      </c>
      <c r="F61" s="301">
        <v>2500</v>
      </c>
      <c r="G61" s="301">
        <v>6585</v>
      </c>
      <c r="H61" s="137">
        <v>10000</v>
      </c>
      <c r="I61" s="112">
        <f t="shared" si="6"/>
        <v>4</v>
      </c>
    </row>
    <row r="62" spans="2:9" x14ac:dyDescent="0.2">
      <c r="B62" s="498"/>
      <c r="C62" s="499"/>
      <c r="D62" s="29">
        <v>10111005</v>
      </c>
      <c r="E62" s="6" t="s">
        <v>186</v>
      </c>
      <c r="F62" s="301">
        <v>7000</v>
      </c>
      <c r="G62" s="301">
        <v>12397.35</v>
      </c>
      <c r="H62" s="137">
        <v>17000</v>
      </c>
      <c r="I62" s="112">
        <f t="shared" si="6"/>
        <v>2.4285714285714284</v>
      </c>
    </row>
    <row r="63" spans="2:9" x14ac:dyDescent="0.2">
      <c r="B63" s="498"/>
      <c r="C63" s="497" t="s">
        <v>23</v>
      </c>
      <c r="D63" s="497"/>
      <c r="E63" s="497"/>
      <c r="F63" s="149">
        <f>SUM(F58:F62)</f>
        <v>194500</v>
      </c>
      <c r="G63" s="149">
        <f>SUM(G58:G62)</f>
        <v>533369.76</v>
      </c>
      <c r="H63" s="149">
        <f>SUM(H58:H62)</f>
        <v>577000</v>
      </c>
      <c r="I63" s="112">
        <f t="shared" si="6"/>
        <v>2.966580976863753</v>
      </c>
    </row>
    <row r="64" spans="2:9" x14ac:dyDescent="0.2">
      <c r="B64" s="498"/>
      <c r="C64" s="500" t="s">
        <v>234</v>
      </c>
      <c r="D64" s="500"/>
      <c r="E64" s="500"/>
      <c r="F64" s="500"/>
      <c r="G64" s="500"/>
      <c r="H64" s="500"/>
      <c r="I64" s="501"/>
    </row>
    <row r="65" spans="2:9" x14ac:dyDescent="0.2">
      <c r="B65" s="498"/>
      <c r="C65" s="499">
        <v>20</v>
      </c>
      <c r="D65" s="29">
        <v>10120001</v>
      </c>
      <c r="E65" s="6" t="s">
        <v>318</v>
      </c>
      <c r="F65" s="301">
        <v>1000000</v>
      </c>
      <c r="G65" s="301">
        <v>511310.74699999997</v>
      </c>
      <c r="H65" s="137">
        <v>800000</v>
      </c>
      <c r="I65" s="112">
        <f>IFERROR(H65/F65,"")</f>
        <v>0.8</v>
      </c>
    </row>
    <row r="66" spans="2:9" x14ac:dyDescent="0.2">
      <c r="B66" s="498"/>
      <c r="C66" s="499"/>
      <c r="D66" s="29">
        <v>10120002</v>
      </c>
      <c r="E66" s="6" t="s">
        <v>319</v>
      </c>
      <c r="F66" s="301">
        <v>90000</v>
      </c>
      <c r="G66" s="301">
        <v>56893.239000000001</v>
      </c>
      <c r="H66" s="137">
        <v>80000</v>
      </c>
      <c r="I66" s="112">
        <f>IFERROR(H66/F66,"")</f>
        <v>0.88888888888888884</v>
      </c>
    </row>
    <row r="67" spans="2:9" x14ac:dyDescent="0.2">
      <c r="B67" s="498"/>
      <c r="C67" s="497" t="s">
        <v>23</v>
      </c>
      <c r="D67" s="497"/>
      <c r="E67" s="497"/>
      <c r="F67" s="149">
        <f>SUM(F65:F66)</f>
        <v>1090000</v>
      </c>
      <c r="G67" s="149">
        <f>SUM(G65:G66)</f>
        <v>568203.98600000003</v>
      </c>
      <c r="H67" s="149">
        <f>SUM(H65:H66)</f>
        <v>880000</v>
      </c>
      <c r="I67" s="112">
        <f>IFERROR(H67/F67,"")</f>
        <v>0.80733944954128445</v>
      </c>
    </row>
    <row r="68" spans="2:9" x14ac:dyDescent="0.2">
      <c r="B68" s="432" t="s">
        <v>225</v>
      </c>
      <c r="C68" s="433"/>
      <c r="D68" s="433"/>
      <c r="E68" s="433"/>
      <c r="F68" s="150">
        <f>F12+F17+F24+F32+F40+F48+F56+F63+F67</f>
        <v>20566950</v>
      </c>
      <c r="G68" s="150">
        <f>G12+G17+G24+G32+G40+G48+G56+G63+G67</f>
        <v>19944943.774000004</v>
      </c>
      <c r="H68" s="150">
        <f>H12+H17+H24+H32+H40+H48+H56+H63+H67</f>
        <v>21233550</v>
      </c>
      <c r="I68" s="112">
        <f>IFERROR(H68/F68,"")</f>
        <v>1.0324112228599769</v>
      </c>
    </row>
    <row r="69" spans="2:9" s="46" customFormat="1" x14ac:dyDescent="0.2">
      <c r="B69" s="482" t="s">
        <v>637</v>
      </c>
      <c r="C69" s="483"/>
      <c r="D69" s="483"/>
      <c r="E69" s="483"/>
      <c r="F69" s="140">
        <f>F68</f>
        <v>20566950</v>
      </c>
      <c r="G69" s="140">
        <f t="shared" ref="G69:H69" si="7">G68</f>
        <v>19944943.774000004</v>
      </c>
      <c r="H69" s="140">
        <f t="shared" si="7"/>
        <v>21233550</v>
      </c>
      <c r="I69" s="112">
        <f>IFERROR(H69/F69,"")</f>
        <v>1.0324112228599769</v>
      </c>
    </row>
    <row r="70" spans="2:9" x14ac:dyDescent="0.2">
      <c r="B70" s="407" t="s">
        <v>639</v>
      </c>
      <c r="C70" s="408"/>
      <c r="D70" s="408"/>
      <c r="E70" s="408"/>
      <c r="F70" s="408"/>
      <c r="G70" s="408"/>
      <c r="H70" s="408"/>
      <c r="I70" s="409"/>
    </row>
    <row r="71" spans="2:9" x14ac:dyDescent="0.2">
      <c r="B71" s="468" t="s">
        <v>425</v>
      </c>
      <c r="C71" s="469"/>
      <c r="D71" s="469"/>
      <c r="E71" s="469"/>
      <c r="F71" s="469"/>
      <c r="G71" s="469"/>
      <c r="H71" s="469"/>
      <c r="I71" s="470"/>
    </row>
    <row r="72" spans="2:9" x14ac:dyDescent="0.2">
      <c r="B72" s="498">
        <v>12</v>
      </c>
      <c r="C72" s="500" t="s">
        <v>231</v>
      </c>
      <c r="D72" s="500"/>
      <c r="E72" s="500"/>
      <c r="F72" s="500"/>
      <c r="G72" s="500"/>
      <c r="H72" s="500"/>
      <c r="I72" s="501"/>
    </row>
    <row r="73" spans="2:9" x14ac:dyDescent="0.2">
      <c r="B73" s="498"/>
      <c r="C73" s="299">
        <v>1</v>
      </c>
      <c r="D73" s="29">
        <v>11201001</v>
      </c>
      <c r="E73" s="6" t="s">
        <v>323</v>
      </c>
      <c r="F73" s="301">
        <v>8000000</v>
      </c>
      <c r="G73" s="301">
        <v>6435957</v>
      </c>
      <c r="H73" s="137">
        <v>7600000</v>
      </c>
      <c r="I73" s="112">
        <f>IFERROR(H73/F73,"")</f>
        <v>0.95</v>
      </c>
    </row>
    <row r="74" spans="2:9" x14ac:dyDescent="0.2">
      <c r="B74" s="498"/>
      <c r="C74" s="497" t="s">
        <v>23</v>
      </c>
      <c r="D74" s="497"/>
      <c r="E74" s="497"/>
      <c r="F74" s="149">
        <f>SUM(F73:F73)</f>
        <v>8000000</v>
      </c>
      <c r="G74" s="149">
        <f>SUM(G73:G73)</f>
        <v>6435957</v>
      </c>
      <c r="H74" s="149">
        <f>SUM(H73:H73)</f>
        <v>7600000</v>
      </c>
      <c r="I74" s="112">
        <f>IFERROR(H74/F74,"")</f>
        <v>0.95</v>
      </c>
    </row>
    <row r="75" spans="2:9" x14ac:dyDescent="0.2">
      <c r="B75" s="432" t="s">
        <v>232</v>
      </c>
      <c r="C75" s="433"/>
      <c r="D75" s="433"/>
      <c r="E75" s="433"/>
      <c r="F75" s="150">
        <f>SUM(F74)</f>
        <v>8000000</v>
      </c>
      <c r="G75" s="150">
        <f t="shared" ref="G75:H76" si="8">SUM(G74)</f>
        <v>6435957</v>
      </c>
      <c r="H75" s="150">
        <f t="shared" si="8"/>
        <v>7600000</v>
      </c>
      <c r="I75" s="112">
        <f>IFERROR(H75/F75,"")</f>
        <v>0.95</v>
      </c>
    </row>
    <row r="76" spans="2:9" x14ac:dyDescent="0.2">
      <c r="B76" s="482" t="s">
        <v>640</v>
      </c>
      <c r="C76" s="483"/>
      <c r="D76" s="483"/>
      <c r="E76" s="483"/>
      <c r="F76" s="140">
        <f>SUM(F75)</f>
        <v>8000000</v>
      </c>
      <c r="G76" s="140">
        <f t="shared" si="8"/>
        <v>6435957</v>
      </c>
      <c r="H76" s="140">
        <f t="shared" si="8"/>
        <v>7600000</v>
      </c>
      <c r="I76" s="112">
        <f>IFERROR(H76/F76,"")</f>
        <v>0.95</v>
      </c>
    </row>
    <row r="77" spans="2:9" s="46" customFormat="1" x14ac:dyDescent="0.2">
      <c r="B77" s="494" t="s">
        <v>641</v>
      </c>
      <c r="C77" s="495"/>
      <c r="D77" s="495"/>
      <c r="E77" s="495"/>
      <c r="F77" s="495"/>
      <c r="G77" s="495"/>
      <c r="H77" s="495"/>
      <c r="I77" s="496"/>
    </row>
    <row r="78" spans="2:9" x14ac:dyDescent="0.2">
      <c r="B78" s="468" t="s">
        <v>613</v>
      </c>
      <c r="C78" s="469"/>
      <c r="D78" s="469"/>
      <c r="E78" s="469"/>
      <c r="F78" s="469"/>
      <c r="G78" s="469"/>
      <c r="H78" s="469"/>
      <c r="I78" s="470"/>
    </row>
    <row r="79" spans="2:9" x14ac:dyDescent="0.2">
      <c r="B79" s="498">
        <v>2</v>
      </c>
      <c r="C79" s="500" t="s">
        <v>187</v>
      </c>
      <c r="D79" s="500"/>
      <c r="E79" s="500"/>
      <c r="F79" s="500"/>
      <c r="G79" s="500"/>
      <c r="H79" s="500"/>
      <c r="I79" s="501"/>
    </row>
    <row r="80" spans="2:9" x14ac:dyDescent="0.2">
      <c r="B80" s="498"/>
      <c r="C80" s="299">
        <v>1</v>
      </c>
      <c r="D80" s="29">
        <v>10201001</v>
      </c>
      <c r="E80" s="6" t="s">
        <v>187</v>
      </c>
      <c r="F80" s="301">
        <v>300</v>
      </c>
      <c r="G80" s="301">
        <v>4.8899999999999997</v>
      </c>
      <c r="H80" s="137">
        <v>300</v>
      </c>
      <c r="I80" s="112">
        <f>IFERROR(H80/F80,"")</f>
        <v>1</v>
      </c>
    </row>
    <row r="81" spans="2:9" x14ac:dyDescent="0.2">
      <c r="B81" s="498"/>
      <c r="C81" s="497" t="s">
        <v>23</v>
      </c>
      <c r="D81" s="497"/>
      <c r="E81" s="497"/>
      <c r="F81" s="149">
        <f>SUM(F80)</f>
        <v>300</v>
      </c>
      <c r="G81" s="149">
        <f>SUM(G80)</f>
        <v>4.8899999999999997</v>
      </c>
      <c r="H81" s="149">
        <f>SUM(H80)</f>
        <v>300</v>
      </c>
      <c r="I81" s="112">
        <f>IFERROR(H81/F81,"")</f>
        <v>1</v>
      </c>
    </row>
    <row r="82" spans="2:9" x14ac:dyDescent="0.2">
      <c r="B82" s="498"/>
      <c r="C82" s="500" t="s">
        <v>226</v>
      </c>
      <c r="D82" s="500"/>
      <c r="E82" s="500"/>
      <c r="F82" s="500"/>
      <c r="G82" s="500"/>
      <c r="H82" s="500"/>
      <c r="I82" s="501"/>
    </row>
    <row r="83" spans="2:9" x14ac:dyDescent="0.2">
      <c r="B83" s="498"/>
      <c r="C83" s="499">
        <v>3</v>
      </c>
      <c r="D83" s="29">
        <v>10203001</v>
      </c>
      <c r="E83" s="6" t="s">
        <v>188</v>
      </c>
      <c r="F83" s="301">
        <v>30000</v>
      </c>
      <c r="G83" s="301">
        <v>10474</v>
      </c>
      <c r="H83" s="137">
        <v>15000</v>
      </c>
      <c r="I83" s="112">
        <f t="shared" ref="I83:I88" si="9">IFERROR(H83/F83,"")</f>
        <v>0.5</v>
      </c>
    </row>
    <row r="84" spans="2:9" x14ac:dyDescent="0.2">
      <c r="B84" s="498"/>
      <c r="C84" s="499"/>
      <c r="D84" s="29">
        <v>10203002</v>
      </c>
      <c r="E84" s="6" t="s">
        <v>189</v>
      </c>
      <c r="F84" s="301">
        <v>1000</v>
      </c>
      <c r="G84" s="301">
        <v>397.25</v>
      </c>
      <c r="H84" s="137">
        <v>1000</v>
      </c>
      <c r="I84" s="112">
        <f t="shared" si="9"/>
        <v>1</v>
      </c>
    </row>
    <row r="85" spans="2:9" x14ac:dyDescent="0.2">
      <c r="B85" s="498"/>
      <c r="C85" s="499"/>
      <c r="D85" s="29">
        <v>10203003</v>
      </c>
      <c r="E85" s="6" t="s">
        <v>190</v>
      </c>
      <c r="F85" s="301">
        <v>2500</v>
      </c>
      <c r="G85" s="301">
        <v>3670.6529999999998</v>
      </c>
      <c r="H85" s="137">
        <v>3000</v>
      </c>
      <c r="I85" s="112">
        <f t="shared" si="9"/>
        <v>1.2</v>
      </c>
    </row>
    <row r="86" spans="2:9" x14ac:dyDescent="0.2">
      <c r="B86" s="498"/>
      <c r="C86" s="499"/>
      <c r="D86" s="29">
        <v>10203004</v>
      </c>
      <c r="E86" s="6" t="s">
        <v>322</v>
      </c>
      <c r="F86" s="301">
        <v>3000</v>
      </c>
      <c r="G86" s="301">
        <v>3671.0129999999999</v>
      </c>
      <c r="H86" s="137">
        <v>3000</v>
      </c>
      <c r="I86" s="112">
        <f t="shared" si="9"/>
        <v>1</v>
      </c>
    </row>
    <row r="87" spans="2:9" x14ac:dyDescent="0.2">
      <c r="B87" s="498"/>
      <c r="C87" s="499"/>
      <c r="D87" s="29">
        <v>10203005</v>
      </c>
      <c r="E87" s="6" t="s">
        <v>191</v>
      </c>
      <c r="F87" s="301">
        <v>20000</v>
      </c>
      <c r="G87" s="301">
        <v>18950</v>
      </c>
      <c r="H87" s="137">
        <v>20000</v>
      </c>
      <c r="I87" s="112">
        <f t="shared" si="9"/>
        <v>1</v>
      </c>
    </row>
    <row r="88" spans="2:9" x14ac:dyDescent="0.2">
      <c r="B88" s="498"/>
      <c r="C88" s="497" t="s">
        <v>23</v>
      </c>
      <c r="D88" s="497"/>
      <c r="E88" s="497"/>
      <c r="F88" s="149">
        <f>SUM(F83:F87)</f>
        <v>56500</v>
      </c>
      <c r="G88" s="149">
        <f>SUM(G83:G87)</f>
        <v>37162.915999999997</v>
      </c>
      <c r="H88" s="149">
        <f>SUM(H83:H87)</f>
        <v>42000</v>
      </c>
      <c r="I88" s="112">
        <f t="shared" si="9"/>
        <v>0.74336283185840712</v>
      </c>
    </row>
    <row r="89" spans="2:9" x14ac:dyDescent="0.2">
      <c r="B89" s="498"/>
      <c r="C89" s="500" t="s">
        <v>227</v>
      </c>
      <c r="D89" s="500"/>
      <c r="E89" s="500"/>
      <c r="F89" s="500"/>
      <c r="G89" s="500"/>
      <c r="H89" s="500"/>
      <c r="I89" s="501"/>
    </row>
    <row r="90" spans="2:9" x14ac:dyDescent="0.2">
      <c r="B90" s="498"/>
      <c r="C90" s="499">
        <v>4</v>
      </c>
      <c r="D90" s="29">
        <v>10204002</v>
      </c>
      <c r="E90" s="6" t="s">
        <v>192</v>
      </c>
      <c r="F90" s="301">
        <v>60000</v>
      </c>
      <c r="G90" s="301">
        <v>73400</v>
      </c>
      <c r="H90" s="137">
        <v>60000</v>
      </c>
      <c r="I90" s="112">
        <f t="shared" ref="I90:I99" si="10">IFERROR(H90/F90,"")</f>
        <v>1</v>
      </c>
    </row>
    <row r="91" spans="2:9" x14ac:dyDescent="0.2">
      <c r="B91" s="498"/>
      <c r="C91" s="499"/>
      <c r="D91" s="29">
        <v>10204003</v>
      </c>
      <c r="E91" s="6" t="s">
        <v>193</v>
      </c>
      <c r="F91" s="301">
        <v>15000</v>
      </c>
      <c r="G91" s="301">
        <v>39950</v>
      </c>
      <c r="H91" s="137">
        <v>40000</v>
      </c>
      <c r="I91" s="112">
        <f t="shared" si="10"/>
        <v>2.6666666666666665</v>
      </c>
    </row>
    <row r="92" spans="2:9" x14ac:dyDescent="0.2">
      <c r="B92" s="498"/>
      <c r="C92" s="499"/>
      <c r="D92" s="29">
        <v>10204004</v>
      </c>
      <c r="E92" s="6" t="s">
        <v>194</v>
      </c>
      <c r="F92" s="301">
        <v>120000</v>
      </c>
      <c r="G92" s="301">
        <v>68909</v>
      </c>
      <c r="H92" s="137">
        <v>120000</v>
      </c>
      <c r="I92" s="112">
        <f t="shared" si="10"/>
        <v>1</v>
      </c>
    </row>
    <row r="93" spans="2:9" x14ac:dyDescent="0.2">
      <c r="B93" s="498"/>
      <c r="C93" s="499"/>
      <c r="D93" s="29">
        <v>10204007</v>
      </c>
      <c r="E93" s="6" t="s">
        <v>195</v>
      </c>
      <c r="F93" s="301">
        <v>2000</v>
      </c>
      <c r="G93" s="301">
        <v>1000</v>
      </c>
      <c r="H93" s="137">
        <v>2000</v>
      </c>
      <c r="I93" s="112">
        <f t="shared" si="10"/>
        <v>1</v>
      </c>
    </row>
    <row r="94" spans="2:9" x14ac:dyDescent="0.2">
      <c r="B94" s="498"/>
      <c r="C94" s="499"/>
      <c r="D94" s="29">
        <v>10204009</v>
      </c>
      <c r="E94" s="6" t="s">
        <v>196</v>
      </c>
      <c r="F94" s="301">
        <v>7000</v>
      </c>
      <c r="G94" s="301">
        <v>0</v>
      </c>
      <c r="H94" s="137">
        <v>7000</v>
      </c>
      <c r="I94" s="112">
        <f t="shared" si="10"/>
        <v>1</v>
      </c>
    </row>
    <row r="95" spans="2:9" x14ac:dyDescent="0.2">
      <c r="B95" s="498"/>
      <c r="C95" s="499"/>
      <c r="D95" s="29">
        <v>10204019</v>
      </c>
      <c r="E95" s="6" t="s">
        <v>327</v>
      </c>
      <c r="F95" s="301">
        <v>42000</v>
      </c>
      <c r="G95" s="301">
        <v>3991</v>
      </c>
      <c r="H95" s="137">
        <v>42000</v>
      </c>
      <c r="I95" s="112">
        <f t="shared" si="10"/>
        <v>1</v>
      </c>
    </row>
    <row r="96" spans="2:9" x14ac:dyDescent="0.2">
      <c r="B96" s="498"/>
      <c r="C96" s="499"/>
      <c r="D96" s="29">
        <v>10204020</v>
      </c>
      <c r="E96" s="6" t="s">
        <v>328</v>
      </c>
      <c r="F96" s="301">
        <v>117000</v>
      </c>
      <c r="G96" s="301">
        <v>57555</v>
      </c>
      <c r="H96" s="137">
        <v>117000</v>
      </c>
      <c r="I96" s="112">
        <f t="shared" si="10"/>
        <v>1</v>
      </c>
    </row>
    <row r="97" spans="2:14" x14ac:dyDescent="0.2">
      <c r="B97" s="498"/>
      <c r="C97" s="499"/>
      <c r="D97" s="29">
        <v>10204021</v>
      </c>
      <c r="E97" s="6" t="s">
        <v>329</v>
      </c>
      <c r="F97" s="301">
        <v>80000</v>
      </c>
      <c r="G97" s="301">
        <v>92216.5</v>
      </c>
      <c r="H97" s="137">
        <v>80000</v>
      </c>
      <c r="I97" s="112">
        <f t="shared" si="10"/>
        <v>1</v>
      </c>
    </row>
    <row r="98" spans="2:14" x14ac:dyDescent="0.2">
      <c r="B98" s="498"/>
      <c r="C98" s="499"/>
      <c r="D98" s="29">
        <v>10204022</v>
      </c>
      <c r="E98" s="6" t="s">
        <v>330</v>
      </c>
      <c r="F98" s="301">
        <v>50000</v>
      </c>
      <c r="G98" s="301">
        <v>30000</v>
      </c>
      <c r="H98" s="137">
        <v>50000</v>
      </c>
      <c r="I98" s="112">
        <f t="shared" si="10"/>
        <v>1</v>
      </c>
    </row>
    <row r="99" spans="2:14" x14ac:dyDescent="0.2">
      <c r="B99" s="498"/>
      <c r="C99" s="497" t="s">
        <v>23</v>
      </c>
      <c r="D99" s="497"/>
      <c r="E99" s="497"/>
      <c r="F99" s="149">
        <f>SUM(F90:F98)</f>
        <v>493000</v>
      </c>
      <c r="G99" s="149">
        <f>SUM(G90:G98)</f>
        <v>367021.5</v>
      </c>
      <c r="H99" s="149">
        <f>SUM(H90:H98)</f>
        <v>518000</v>
      </c>
      <c r="I99" s="112">
        <f t="shared" si="10"/>
        <v>1.050709939148073</v>
      </c>
    </row>
    <row r="100" spans="2:14" x14ac:dyDescent="0.2">
      <c r="B100" s="498"/>
      <c r="C100" s="500" t="s">
        <v>239</v>
      </c>
      <c r="D100" s="500"/>
      <c r="E100" s="500"/>
      <c r="F100" s="500"/>
      <c r="G100" s="500"/>
      <c r="H100" s="500"/>
      <c r="I100" s="501"/>
    </row>
    <row r="101" spans="2:14" x14ac:dyDescent="0.2">
      <c r="B101" s="498"/>
      <c r="C101" s="8">
        <v>5</v>
      </c>
      <c r="D101" s="29">
        <v>10205001</v>
      </c>
      <c r="E101" s="6" t="s">
        <v>331</v>
      </c>
      <c r="F101" s="301">
        <v>50000</v>
      </c>
      <c r="G101" s="301">
        <v>284213.51899999997</v>
      </c>
      <c r="H101" s="137">
        <v>100000</v>
      </c>
      <c r="I101" s="112">
        <f>IFERROR(H101/F101,"")</f>
        <v>2</v>
      </c>
    </row>
    <row r="102" spans="2:14" x14ac:dyDescent="0.2">
      <c r="B102" s="498"/>
      <c r="C102" s="497" t="s">
        <v>23</v>
      </c>
      <c r="D102" s="497"/>
      <c r="E102" s="497"/>
      <c r="F102" s="149">
        <f>SUM(F101)</f>
        <v>50000</v>
      </c>
      <c r="G102" s="149">
        <f>SUM(G101)</f>
        <v>284213.51899999997</v>
      </c>
      <c r="H102" s="149">
        <f>SUM(H101)</f>
        <v>100000</v>
      </c>
      <c r="I102" s="112">
        <f>IFERROR(H102/F102,"")</f>
        <v>2</v>
      </c>
    </row>
    <row r="103" spans="2:14" s="46" customFormat="1" x14ac:dyDescent="0.2">
      <c r="B103" s="498"/>
      <c r="C103" s="500" t="s">
        <v>473</v>
      </c>
      <c r="D103" s="500"/>
      <c r="E103" s="500"/>
      <c r="F103" s="500"/>
      <c r="G103" s="500"/>
      <c r="H103" s="500"/>
      <c r="I103" s="501"/>
    </row>
    <row r="104" spans="2:14" s="46" customFormat="1" x14ac:dyDescent="0.2">
      <c r="B104" s="498"/>
      <c r="C104" s="499">
        <v>9</v>
      </c>
      <c r="D104" s="120">
        <v>10209001</v>
      </c>
      <c r="E104" s="66" t="s">
        <v>463</v>
      </c>
      <c r="F104" s="301">
        <v>205750</v>
      </c>
      <c r="G104" s="301">
        <v>0</v>
      </c>
      <c r="H104" s="137"/>
      <c r="I104" s="112">
        <f>IFERROR(H104/F104,"")</f>
        <v>0</v>
      </c>
      <c r="N104" s="241"/>
    </row>
    <row r="105" spans="2:14" s="46" customFormat="1" x14ac:dyDescent="0.2">
      <c r="B105" s="498"/>
      <c r="C105" s="499"/>
      <c r="D105" s="120">
        <v>10209002</v>
      </c>
      <c r="E105" s="66" t="s">
        <v>197</v>
      </c>
      <c r="F105" s="301">
        <v>137500</v>
      </c>
      <c r="G105" s="301">
        <v>0</v>
      </c>
      <c r="H105" s="137"/>
      <c r="I105" s="112">
        <f>IFERROR(H105/F105,"")</f>
        <v>0</v>
      </c>
      <c r="N105" s="241"/>
    </row>
    <row r="106" spans="2:14" s="46" customFormat="1" x14ac:dyDescent="0.2">
      <c r="B106" s="498"/>
      <c r="C106" s="497" t="s">
        <v>23</v>
      </c>
      <c r="D106" s="497"/>
      <c r="E106" s="497"/>
      <c r="F106" s="149">
        <f>SUM(F104:F105)</f>
        <v>343250</v>
      </c>
      <c r="G106" s="149">
        <f t="shared" ref="G106:H106" si="11">SUM(G104:G105)</f>
        <v>0</v>
      </c>
      <c r="H106" s="149">
        <f t="shared" si="11"/>
        <v>0</v>
      </c>
      <c r="I106" s="112">
        <f>IFERROR(H106/F106,"")</f>
        <v>0</v>
      </c>
    </row>
    <row r="107" spans="2:14" x14ac:dyDescent="0.2">
      <c r="B107" s="432" t="s">
        <v>614</v>
      </c>
      <c r="C107" s="433"/>
      <c r="D107" s="433"/>
      <c r="E107" s="433"/>
      <c r="F107" s="150">
        <f>F81+F88+F99+F102+F106</f>
        <v>943050</v>
      </c>
      <c r="G107" s="150">
        <f>G81+G88+G99+G102+G106</f>
        <v>688402.82499999995</v>
      </c>
      <c r="H107" s="150">
        <f>H81+H88+H99+H102+H106</f>
        <v>660300</v>
      </c>
      <c r="I107" s="112">
        <f>IFERROR(H107/F107,"")</f>
        <v>0.70017496421186576</v>
      </c>
    </row>
    <row r="108" spans="2:14" x14ac:dyDescent="0.2">
      <c r="B108" s="468" t="s">
        <v>618</v>
      </c>
      <c r="C108" s="469"/>
      <c r="D108" s="469"/>
      <c r="E108" s="469"/>
      <c r="F108" s="469"/>
      <c r="G108" s="469"/>
      <c r="H108" s="469"/>
      <c r="I108" s="470"/>
    </row>
    <row r="109" spans="2:14" s="46" customFormat="1" x14ac:dyDescent="0.2">
      <c r="B109" s="498">
        <v>10</v>
      </c>
      <c r="C109" s="500" t="s">
        <v>228</v>
      </c>
      <c r="D109" s="500"/>
      <c r="E109" s="500"/>
      <c r="F109" s="500"/>
      <c r="G109" s="500"/>
      <c r="H109" s="500"/>
      <c r="I109" s="501"/>
    </row>
    <row r="110" spans="2:14" s="46" customFormat="1" x14ac:dyDescent="0.2">
      <c r="B110" s="498"/>
      <c r="C110" s="499">
        <v>1</v>
      </c>
      <c r="D110" s="29">
        <v>11001002</v>
      </c>
      <c r="E110" s="6" t="s">
        <v>198</v>
      </c>
      <c r="F110" s="301">
        <v>7000</v>
      </c>
      <c r="G110" s="301">
        <v>2170</v>
      </c>
      <c r="H110" s="137">
        <v>5000</v>
      </c>
      <c r="I110" s="112">
        <f t="shared" ref="I110:I129" si="12">IFERROR(H110/F110,"")</f>
        <v>0.7142857142857143</v>
      </c>
    </row>
    <row r="111" spans="2:14" s="46" customFormat="1" x14ac:dyDescent="0.2">
      <c r="B111" s="498"/>
      <c r="C111" s="499"/>
      <c r="D111" s="29">
        <v>11001004</v>
      </c>
      <c r="E111" s="6" t="s">
        <v>199</v>
      </c>
      <c r="F111" s="301">
        <v>5000</v>
      </c>
      <c r="G111" s="301">
        <v>2845</v>
      </c>
      <c r="H111" s="137">
        <v>5000</v>
      </c>
      <c r="I111" s="112">
        <f t="shared" si="12"/>
        <v>1</v>
      </c>
    </row>
    <row r="112" spans="2:14" s="46" customFormat="1" x14ac:dyDescent="0.2">
      <c r="B112" s="498"/>
      <c r="C112" s="499"/>
      <c r="D112" s="29">
        <v>11001010</v>
      </c>
      <c r="E112" s="6" t="s">
        <v>451</v>
      </c>
      <c r="F112" s="301">
        <v>150000</v>
      </c>
      <c r="G112" s="301">
        <v>155942.185</v>
      </c>
      <c r="H112" s="137">
        <v>160000</v>
      </c>
      <c r="I112" s="112">
        <f t="shared" si="12"/>
        <v>1.0666666666666667</v>
      </c>
    </row>
    <row r="113" spans="2:9" s="46" customFormat="1" x14ac:dyDescent="0.2">
      <c r="B113" s="498"/>
      <c r="C113" s="499"/>
      <c r="D113" s="29">
        <v>11001011</v>
      </c>
      <c r="E113" s="6" t="s">
        <v>200</v>
      </c>
      <c r="F113" s="301">
        <v>4000</v>
      </c>
      <c r="G113" s="301">
        <v>2469</v>
      </c>
      <c r="H113" s="137">
        <v>4000</v>
      </c>
      <c r="I113" s="112">
        <f t="shared" si="12"/>
        <v>1</v>
      </c>
    </row>
    <row r="114" spans="2:9" s="46" customFormat="1" x14ac:dyDescent="0.2">
      <c r="B114" s="498"/>
      <c r="C114" s="499"/>
      <c r="D114" s="29">
        <v>11001013</v>
      </c>
      <c r="E114" s="6" t="s">
        <v>201</v>
      </c>
      <c r="F114" s="301">
        <v>10000</v>
      </c>
      <c r="G114" s="301">
        <v>57902.627999999997</v>
      </c>
      <c r="H114" s="137">
        <v>10000</v>
      </c>
      <c r="I114" s="112">
        <f t="shared" si="12"/>
        <v>1</v>
      </c>
    </row>
    <row r="115" spans="2:9" s="46" customFormat="1" x14ac:dyDescent="0.2">
      <c r="B115" s="498"/>
      <c r="C115" s="499"/>
      <c r="D115" s="29">
        <v>11001015</v>
      </c>
      <c r="E115" s="6" t="s">
        <v>202</v>
      </c>
      <c r="F115" s="301">
        <v>2000</v>
      </c>
      <c r="G115" s="301">
        <v>362.952</v>
      </c>
      <c r="H115" s="137">
        <v>2000</v>
      </c>
      <c r="I115" s="112">
        <f t="shared" si="12"/>
        <v>1</v>
      </c>
    </row>
    <row r="116" spans="2:9" s="46" customFormat="1" x14ac:dyDescent="0.2">
      <c r="B116" s="498"/>
      <c r="C116" s="499"/>
      <c r="D116" s="29">
        <v>11001017</v>
      </c>
      <c r="E116" s="6" t="s">
        <v>203</v>
      </c>
      <c r="F116" s="301">
        <v>1000</v>
      </c>
      <c r="G116" s="301">
        <v>2679.7640000000001</v>
      </c>
      <c r="H116" s="137">
        <v>2000</v>
      </c>
      <c r="I116" s="112">
        <f t="shared" si="12"/>
        <v>2</v>
      </c>
    </row>
    <row r="117" spans="2:9" s="46" customFormat="1" x14ac:dyDescent="0.2">
      <c r="B117" s="498"/>
      <c r="C117" s="499"/>
      <c r="D117" s="29">
        <v>11001022</v>
      </c>
      <c r="E117" s="6" t="s">
        <v>204</v>
      </c>
      <c r="F117" s="301">
        <v>237500</v>
      </c>
      <c r="G117" s="301">
        <v>835076.43599999999</v>
      </c>
      <c r="H117" s="137">
        <v>150000</v>
      </c>
      <c r="I117" s="112">
        <f t="shared" si="12"/>
        <v>0.63157894736842102</v>
      </c>
    </row>
    <row r="118" spans="2:9" s="46" customFormat="1" x14ac:dyDescent="0.2">
      <c r="B118" s="498"/>
      <c r="C118" s="499"/>
      <c r="D118" s="29">
        <v>11001023</v>
      </c>
      <c r="E118" s="6" t="s">
        <v>205</v>
      </c>
      <c r="F118" s="301">
        <v>10000</v>
      </c>
      <c r="G118" s="301">
        <v>4191</v>
      </c>
      <c r="H118" s="137">
        <v>10000</v>
      </c>
      <c r="I118" s="112">
        <f t="shared" si="12"/>
        <v>1</v>
      </c>
    </row>
    <row r="119" spans="2:9" s="46" customFormat="1" x14ac:dyDescent="0.2">
      <c r="B119" s="498"/>
      <c r="C119" s="499"/>
      <c r="D119" s="29">
        <v>11001025</v>
      </c>
      <c r="E119" s="6" t="s">
        <v>206</v>
      </c>
      <c r="F119" s="301">
        <v>10000</v>
      </c>
      <c r="G119" s="301">
        <v>1430</v>
      </c>
      <c r="H119" s="137">
        <v>10000</v>
      </c>
      <c r="I119" s="112">
        <f t="shared" si="12"/>
        <v>1</v>
      </c>
    </row>
    <row r="120" spans="2:9" s="46" customFormat="1" x14ac:dyDescent="0.2">
      <c r="B120" s="498"/>
      <c r="C120" s="499"/>
      <c r="D120" s="29">
        <v>11001030</v>
      </c>
      <c r="E120" s="6" t="s">
        <v>207</v>
      </c>
      <c r="F120" s="301">
        <v>25000</v>
      </c>
      <c r="G120" s="301">
        <v>7021.6480000000001</v>
      </c>
      <c r="H120" s="137">
        <v>25000</v>
      </c>
      <c r="I120" s="112">
        <f t="shared" si="12"/>
        <v>1</v>
      </c>
    </row>
    <row r="121" spans="2:9" s="46" customFormat="1" x14ac:dyDescent="0.2">
      <c r="B121" s="498"/>
      <c r="C121" s="499"/>
      <c r="D121" s="29">
        <v>11001033</v>
      </c>
      <c r="E121" s="6" t="s">
        <v>208</v>
      </c>
      <c r="F121" s="301">
        <v>25000</v>
      </c>
      <c r="G121" s="301">
        <v>74731.7</v>
      </c>
      <c r="H121" s="137">
        <v>25000</v>
      </c>
      <c r="I121" s="112">
        <f t="shared" si="12"/>
        <v>1</v>
      </c>
    </row>
    <row r="122" spans="2:9" s="46" customFormat="1" x14ac:dyDescent="0.2">
      <c r="B122" s="498"/>
      <c r="C122" s="499"/>
      <c r="D122" s="29">
        <v>11001034</v>
      </c>
      <c r="E122" s="6" t="s">
        <v>209</v>
      </c>
      <c r="F122" s="301">
        <v>1000</v>
      </c>
      <c r="G122" s="301">
        <v>0</v>
      </c>
      <c r="H122" s="137">
        <v>650</v>
      </c>
      <c r="I122" s="112">
        <f t="shared" si="12"/>
        <v>0.65</v>
      </c>
    </row>
    <row r="123" spans="2:9" s="46" customFormat="1" x14ac:dyDescent="0.2">
      <c r="B123" s="498"/>
      <c r="C123" s="499"/>
      <c r="D123" s="29">
        <v>11001035</v>
      </c>
      <c r="E123" s="6" t="s">
        <v>210</v>
      </c>
      <c r="F123" s="301">
        <v>35000</v>
      </c>
      <c r="G123" s="301">
        <v>27664.624</v>
      </c>
      <c r="H123" s="137">
        <v>20000</v>
      </c>
      <c r="I123" s="112">
        <f t="shared" si="12"/>
        <v>0.5714285714285714</v>
      </c>
    </row>
    <row r="124" spans="2:9" s="46" customFormat="1" x14ac:dyDescent="0.2">
      <c r="B124" s="498"/>
      <c r="C124" s="499"/>
      <c r="D124" s="29">
        <v>11001036</v>
      </c>
      <c r="E124" s="6" t="s">
        <v>211</v>
      </c>
      <c r="F124" s="301">
        <v>2500</v>
      </c>
      <c r="G124" s="301">
        <v>2075.5</v>
      </c>
      <c r="H124" s="137">
        <v>2500</v>
      </c>
      <c r="I124" s="112">
        <f t="shared" si="12"/>
        <v>1</v>
      </c>
    </row>
    <row r="125" spans="2:9" s="46" customFormat="1" x14ac:dyDescent="0.2">
      <c r="B125" s="498"/>
      <c r="C125" s="499"/>
      <c r="D125" s="29">
        <v>11001038</v>
      </c>
      <c r="E125" s="65" t="s">
        <v>506</v>
      </c>
      <c r="F125" s="301">
        <v>10000</v>
      </c>
      <c r="G125" s="301">
        <v>0</v>
      </c>
      <c r="H125" s="137">
        <v>10000</v>
      </c>
      <c r="I125" s="112">
        <f t="shared" si="12"/>
        <v>1</v>
      </c>
    </row>
    <row r="126" spans="2:9" s="46" customFormat="1" x14ac:dyDescent="0.2">
      <c r="B126" s="498"/>
      <c r="C126" s="499"/>
      <c r="D126" s="121"/>
      <c r="E126" s="60" t="s">
        <v>519</v>
      </c>
      <c r="F126" s="301"/>
      <c r="G126" s="301"/>
      <c r="H126" s="137">
        <v>5000</v>
      </c>
      <c r="I126" s="112" t="str">
        <f t="shared" si="12"/>
        <v/>
      </c>
    </row>
    <row r="127" spans="2:9" s="46" customFormat="1" x14ac:dyDescent="0.2">
      <c r="B127" s="498"/>
      <c r="C127" s="499"/>
      <c r="D127" s="121"/>
      <c r="E127" s="60" t="s">
        <v>514</v>
      </c>
      <c r="F127" s="301"/>
      <c r="G127" s="301"/>
      <c r="H127" s="137">
        <v>5000</v>
      </c>
      <c r="I127" s="112" t="str">
        <f t="shared" si="12"/>
        <v/>
      </c>
    </row>
    <row r="128" spans="2:9" s="46" customFormat="1" x14ac:dyDescent="0.2">
      <c r="B128" s="498"/>
      <c r="C128" s="499"/>
      <c r="D128" s="121"/>
      <c r="E128" s="60" t="s">
        <v>529</v>
      </c>
      <c r="F128" s="301"/>
      <c r="G128" s="301"/>
      <c r="H128" s="137">
        <v>90000</v>
      </c>
      <c r="I128" s="112" t="str">
        <f t="shared" si="12"/>
        <v/>
      </c>
    </row>
    <row r="129" spans="2:9" s="46" customFormat="1" x14ac:dyDescent="0.2">
      <c r="B129" s="498"/>
      <c r="C129" s="497" t="s">
        <v>23</v>
      </c>
      <c r="D129" s="497"/>
      <c r="E129" s="497"/>
      <c r="F129" s="149">
        <f>SUM(F110:F128)</f>
        <v>535000</v>
      </c>
      <c r="G129" s="149">
        <f t="shared" ref="G129:H129" si="13">SUM(G110:G128)</f>
        <v>1176562.4369999999</v>
      </c>
      <c r="H129" s="149">
        <f t="shared" si="13"/>
        <v>541150</v>
      </c>
      <c r="I129" s="112">
        <f t="shared" si="12"/>
        <v>1.0114953271028038</v>
      </c>
    </row>
    <row r="130" spans="2:9" s="46" customFormat="1" x14ac:dyDescent="0.2">
      <c r="B130" s="498"/>
      <c r="C130" s="500" t="s">
        <v>230</v>
      </c>
      <c r="D130" s="500"/>
      <c r="E130" s="500"/>
      <c r="F130" s="500"/>
      <c r="G130" s="500"/>
      <c r="H130" s="500"/>
      <c r="I130" s="501"/>
    </row>
    <row r="131" spans="2:9" s="46" customFormat="1" x14ac:dyDescent="0.2">
      <c r="B131" s="498"/>
      <c r="C131" s="8">
        <v>2</v>
      </c>
      <c r="D131" s="29">
        <v>11002001</v>
      </c>
      <c r="E131" s="6" t="s">
        <v>212</v>
      </c>
      <c r="F131" s="301">
        <v>110000</v>
      </c>
      <c r="G131" s="301">
        <v>144599.09</v>
      </c>
      <c r="H131" s="137">
        <v>150000</v>
      </c>
      <c r="I131" s="112">
        <f>IFERROR(H131/F131,"")</f>
        <v>1.3636363636363635</v>
      </c>
    </row>
    <row r="132" spans="2:9" s="46" customFormat="1" x14ac:dyDescent="0.2">
      <c r="B132" s="498"/>
      <c r="C132" s="497" t="s">
        <v>23</v>
      </c>
      <c r="D132" s="497"/>
      <c r="E132" s="497"/>
      <c r="F132" s="149">
        <f>SUM(F131)</f>
        <v>110000</v>
      </c>
      <c r="G132" s="149">
        <f>SUM(G131)</f>
        <v>144599.09</v>
      </c>
      <c r="H132" s="149">
        <f>SUM(H131)</f>
        <v>150000</v>
      </c>
      <c r="I132" s="112">
        <f>IFERROR(H132/F132,"")</f>
        <v>1.3636363636363635</v>
      </c>
    </row>
    <row r="133" spans="2:9" s="46" customFormat="1" x14ac:dyDescent="0.2">
      <c r="B133" s="498"/>
      <c r="C133" s="500" t="s">
        <v>229</v>
      </c>
      <c r="D133" s="500"/>
      <c r="E133" s="500"/>
      <c r="F133" s="500"/>
      <c r="G133" s="500"/>
      <c r="H133" s="500"/>
      <c r="I133" s="501"/>
    </row>
    <row r="134" spans="2:9" s="46" customFormat="1" x14ac:dyDescent="0.2">
      <c r="B134" s="498"/>
      <c r="C134" s="8">
        <v>3</v>
      </c>
      <c r="D134" s="29">
        <v>11003004</v>
      </c>
      <c r="E134" s="6" t="s">
        <v>235</v>
      </c>
      <c r="F134" s="301">
        <v>50000</v>
      </c>
      <c r="G134" s="301">
        <v>50116.25</v>
      </c>
      <c r="H134" s="137">
        <v>50000</v>
      </c>
      <c r="I134" s="112">
        <f>IFERROR(H134/F134,"")</f>
        <v>1</v>
      </c>
    </row>
    <row r="135" spans="2:9" s="46" customFormat="1" x14ac:dyDescent="0.2">
      <c r="B135" s="498"/>
      <c r="C135" s="497" t="s">
        <v>23</v>
      </c>
      <c r="D135" s="497"/>
      <c r="E135" s="497"/>
      <c r="F135" s="149">
        <f>SUM(F134)</f>
        <v>50000</v>
      </c>
      <c r="G135" s="149">
        <f>SUM(G134)</f>
        <v>50116.25</v>
      </c>
      <c r="H135" s="149">
        <f>SUM(H134)</f>
        <v>50000</v>
      </c>
      <c r="I135" s="112">
        <f>IFERROR(H135/F135,"")</f>
        <v>1</v>
      </c>
    </row>
    <row r="136" spans="2:9" s="46" customFormat="1" x14ac:dyDescent="0.2">
      <c r="B136" s="498"/>
      <c r="C136" s="500" t="s">
        <v>213</v>
      </c>
      <c r="D136" s="500"/>
      <c r="E136" s="500"/>
      <c r="F136" s="500"/>
      <c r="G136" s="500"/>
      <c r="H136" s="500"/>
      <c r="I136" s="501"/>
    </row>
    <row r="137" spans="2:9" s="46" customFormat="1" x14ac:dyDescent="0.2">
      <c r="B137" s="498"/>
      <c r="C137" s="8">
        <v>7</v>
      </c>
      <c r="D137" s="29">
        <v>11007001</v>
      </c>
      <c r="E137" s="6" t="s">
        <v>213</v>
      </c>
      <c r="F137" s="301">
        <v>100000</v>
      </c>
      <c r="G137" s="301">
        <v>100000</v>
      </c>
      <c r="H137" s="137">
        <v>100000</v>
      </c>
      <c r="I137" s="112">
        <f>IFERROR(H137/F137,"")</f>
        <v>1</v>
      </c>
    </row>
    <row r="138" spans="2:9" s="46" customFormat="1" x14ac:dyDescent="0.2">
      <c r="B138" s="498"/>
      <c r="C138" s="497" t="s">
        <v>23</v>
      </c>
      <c r="D138" s="497"/>
      <c r="E138" s="497"/>
      <c r="F138" s="149">
        <f>SUM(F137)</f>
        <v>100000</v>
      </c>
      <c r="G138" s="149">
        <f>SUM(G137)</f>
        <v>100000</v>
      </c>
      <c r="H138" s="149">
        <f>SUM(H137)</f>
        <v>100000</v>
      </c>
      <c r="I138" s="112">
        <f>IFERROR(H138/F138,"")</f>
        <v>1</v>
      </c>
    </row>
    <row r="139" spans="2:9" x14ac:dyDescent="0.2">
      <c r="B139" s="432" t="s">
        <v>619</v>
      </c>
      <c r="C139" s="433"/>
      <c r="D139" s="433"/>
      <c r="E139" s="433"/>
      <c r="F139" s="150">
        <f>F129+F132+F135+F138</f>
        <v>795000</v>
      </c>
      <c r="G139" s="150">
        <f>G129+G132+G135+G138</f>
        <v>1471277.777</v>
      </c>
      <c r="H139" s="150">
        <f>H129+H132+H135+H138</f>
        <v>841150</v>
      </c>
      <c r="I139" s="112">
        <f>IFERROR(H139/F139,"")</f>
        <v>1.0580503144654088</v>
      </c>
    </row>
    <row r="140" spans="2:9" x14ac:dyDescent="0.2">
      <c r="B140" s="492" t="s">
        <v>642</v>
      </c>
      <c r="C140" s="493"/>
      <c r="D140" s="493"/>
      <c r="E140" s="493"/>
      <c r="F140" s="140">
        <f>F107+F139</f>
        <v>1738050</v>
      </c>
      <c r="G140" s="140">
        <f t="shared" ref="G140:H140" si="14">G107+G139</f>
        <v>2159680.602</v>
      </c>
      <c r="H140" s="140">
        <f t="shared" si="14"/>
        <v>1501450</v>
      </c>
      <c r="I140" s="112">
        <f>IFERROR(H140/F140,"")</f>
        <v>0.86387042950432957</v>
      </c>
    </row>
    <row r="141" spans="2:9" x14ac:dyDescent="0.2">
      <c r="B141" s="407" t="s">
        <v>615</v>
      </c>
      <c r="C141" s="408"/>
      <c r="D141" s="408"/>
      <c r="E141" s="408"/>
      <c r="F141" s="408"/>
      <c r="G141" s="408"/>
      <c r="H141" s="408"/>
      <c r="I141" s="409"/>
    </row>
    <row r="142" spans="2:9" x14ac:dyDescent="0.2">
      <c r="B142" s="468" t="s">
        <v>426</v>
      </c>
      <c r="C142" s="469"/>
      <c r="D142" s="469"/>
      <c r="E142" s="469"/>
      <c r="F142" s="469"/>
      <c r="G142" s="469"/>
      <c r="H142" s="469"/>
      <c r="I142" s="470"/>
    </row>
    <row r="143" spans="2:9" x14ac:dyDescent="0.2">
      <c r="B143" s="498">
        <v>22</v>
      </c>
      <c r="C143" s="500" t="s">
        <v>214</v>
      </c>
      <c r="D143" s="500"/>
      <c r="E143" s="500"/>
      <c r="F143" s="500"/>
      <c r="G143" s="500"/>
      <c r="H143" s="500"/>
      <c r="I143" s="501"/>
    </row>
    <row r="144" spans="2:9" x14ac:dyDescent="0.2">
      <c r="B144" s="498"/>
      <c r="C144" s="499">
        <v>1</v>
      </c>
      <c r="D144" s="29">
        <v>12201001</v>
      </c>
      <c r="E144" s="6" t="s">
        <v>214</v>
      </c>
      <c r="F144" s="301">
        <v>50000</v>
      </c>
      <c r="G144" s="301">
        <v>6060</v>
      </c>
      <c r="H144" s="137">
        <v>50000</v>
      </c>
      <c r="I144" s="112">
        <f t="shared" ref="I144:I149" si="15">IFERROR(H144/F144,"")</f>
        <v>1</v>
      </c>
    </row>
    <row r="145" spans="2:14" x14ac:dyDescent="0.2">
      <c r="B145" s="498"/>
      <c r="C145" s="499"/>
      <c r="D145" s="29">
        <v>12201003</v>
      </c>
      <c r="E145" s="6" t="s">
        <v>324</v>
      </c>
      <c r="F145" s="301">
        <v>25000</v>
      </c>
      <c r="G145" s="301">
        <v>24000</v>
      </c>
      <c r="H145" s="137">
        <v>25000</v>
      </c>
      <c r="I145" s="112">
        <f t="shared" si="15"/>
        <v>1</v>
      </c>
    </row>
    <row r="146" spans="2:14" x14ac:dyDescent="0.2">
      <c r="B146" s="498"/>
      <c r="C146" s="497" t="s">
        <v>23</v>
      </c>
      <c r="D146" s="497"/>
      <c r="E146" s="497"/>
      <c r="F146" s="149">
        <f>SUM(F144:F145)</f>
        <v>75000</v>
      </c>
      <c r="G146" s="149">
        <f>SUM(G144:G145)</f>
        <v>30060</v>
      </c>
      <c r="H146" s="149">
        <f>SUM(H144:H145)</f>
        <v>75000</v>
      </c>
      <c r="I146" s="112">
        <f t="shared" si="15"/>
        <v>1</v>
      </c>
    </row>
    <row r="147" spans="2:14" x14ac:dyDescent="0.2">
      <c r="B147" s="432" t="s">
        <v>233</v>
      </c>
      <c r="C147" s="433"/>
      <c r="D147" s="433"/>
      <c r="E147" s="433"/>
      <c r="F147" s="150">
        <f>SUM(F146)</f>
        <v>75000</v>
      </c>
      <c r="G147" s="150">
        <f t="shared" ref="G147:H148" si="16">SUM(G146)</f>
        <v>30060</v>
      </c>
      <c r="H147" s="150">
        <f t="shared" si="16"/>
        <v>75000</v>
      </c>
      <c r="I147" s="112">
        <f t="shared" si="15"/>
        <v>1</v>
      </c>
    </row>
    <row r="148" spans="2:14" x14ac:dyDescent="0.2">
      <c r="B148" s="482" t="s">
        <v>616</v>
      </c>
      <c r="C148" s="483"/>
      <c r="D148" s="483"/>
      <c r="E148" s="483"/>
      <c r="F148" s="140">
        <f>SUM(F147)</f>
        <v>75000</v>
      </c>
      <c r="G148" s="140">
        <f t="shared" si="16"/>
        <v>30060</v>
      </c>
      <c r="H148" s="140">
        <f t="shared" si="16"/>
        <v>75000</v>
      </c>
      <c r="I148" s="112">
        <f t="shared" si="15"/>
        <v>1</v>
      </c>
    </row>
    <row r="149" spans="2:14" x14ac:dyDescent="0.2">
      <c r="B149" s="490" t="s">
        <v>617</v>
      </c>
      <c r="C149" s="491"/>
      <c r="D149" s="491"/>
      <c r="E149" s="491"/>
      <c r="F149" s="194">
        <f>F69+F140+F76+F148</f>
        <v>30380000</v>
      </c>
      <c r="G149" s="194">
        <f>G69+G140+G76+G148</f>
        <v>28570641.376000002</v>
      </c>
      <c r="H149" s="194">
        <f>H69+H140+H76+H148</f>
        <v>30410000</v>
      </c>
      <c r="I149" s="112">
        <f t="shared" si="15"/>
        <v>1.0009874917709018</v>
      </c>
    </row>
    <row r="150" spans="2:14" x14ac:dyDescent="0.2">
      <c r="B150" s="416" t="s">
        <v>216</v>
      </c>
      <c r="C150" s="417"/>
      <c r="D150" s="417"/>
      <c r="E150" s="417"/>
      <c r="F150" s="417"/>
      <c r="G150" s="417"/>
      <c r="H150" s="417"/>
      <c r="I150" s="418"/>
    </row>
    <row r="151" spans="2:14" x14ac:dyDescent="0.2">
      <c r="B151" s="514">
        <v>81</v>
      </c>
      <c r="C151" s="500" t="s">
        <v>216</v>
      </c>
      <c r="D151" s="500"/>
      <c r="E151" s="500"/>
      <c r="F151" s="500"/>
      <c r="G151" s="500"/>
      <c r="H151" s="500"/>
      <c r="I151" s="501"/>
    </row>
    <row r="152" spans="2:14" x14ac:dyDescent="0.2">
      <c r="B152" s="514"/>
      <c r="C152" s="299">
        <v>1</v>
      </c>
      <c r="D152" s="29">
        <v>18101001</v>
      </c>
      <c r="E152" s="6" t="s">
        <v>216</v>
      </c>
      <c r="F152" s="301">
        <f>'ن-فرعي'!F361-'ر-فرعي'!F149</f>
        <v>6000000</v>
      </c>
      <c r="G152" s="301">
        <f>'ن-فرعي'!H361-'ر-فرعي'!G149</f>
        <v>2084889.5519999973</v>
      </c>
      <c r="H152" s="139">
        <f>'ن-فرعي'!J361-'ر-فرعي'!H149</f>
        <v>5314000</v>
      </c>
      <c r="I152" s="112">
        <f>IFERROR(H152/F152,"")</f>
        <v>0.88566666666666671</v>
      </c>
      <c r="K152" s="241"/>
      <c r="L152" s="238"/>
      <c r="M152" s="280"/>
      <c r="N152" s="226"/>
    </row>
    <row r="153" spans="2:14" x14ac:dyDescent="0.2">
      <c r="B153" s="512" t="s">
        <v>581</v>
      </c>
      <c r="C153" s="513"/>
      <c r="D153" s="513"/>
      <c r="E153" s="513"/>
      <c r="F153" s="139">
        <f>SUM(F152:F152)</f>
        <v>6000000</v>
      </c>
      <c r="G153" s="139">
        <f t="shared" ref="G153:H153" si="17">SUM(G152:G152)</f>
        <v>2084889.5519999973</v>
      </c>
      <c r="H153" s="139">
        <f t="shared" si="17"/>
        <v>5314000</v>
      </c>
      <c r="I153" s="112">
        <f>IFERROR(H153/F153,"")</f>
        <v>0.88566666666666671</v>
      </c>
      <c r="L153" s="238"/>
      <c r="M153" s="280"/>
      <c r="N153" s="226"/>
    </row>
    <row r="154" spans="2:14" x14ac:dyDescent="0.2">
      <c r="B154" s="456" t="s">
        <v>607</v>
      </c>
      <c r="C154" s="457"/>
      <c r="D154" s="457"/>
      <c r="E154" s="457"/>
      <c r="F154" s="192">
        <f>F149+F153</f>
        <v>36380000</v>
      </c>
      <c r="G154" s="192">
        <f>G149+G153</f>
        <v>30655530.927999999</v>
      </c>
      <c r="H154" s="192">
        <f>H149+H153</f>
        <v>35724000</v>
      </c>
      <c r="I154" s="112">
        <f>IFERROR(H154/F154,"")</f>
        <v>0.98196811434854314</v>
      </c>
      <c r="L154" s="238"/>
      <c r="M154" s="15"/>
      <c r="N154" s="226"/>
    </row>
    <row r="155" spans="2:14" x14ac:dyDescent="0.2">
      <c r="B155" s="508"/>
      <c r="C155" s="509"/>
      <c r="D155" s="509"/>
      <c r="E155" s="509"/>
      <c r="F155" s="509"/>
      <c r="G155" s="509"/>
      <c r="H155" s="509"/>
      <c r="I155" s="510"/>
      <c r="L155" s="238"/>
      <c r="M155" s="280"/>
      <c r="N155" s="15"/>
    </row>
    <row r="156" spans="2:14" s="46" customFormat="1" x14ac:dyDescent="0.2">
      <c r="B156" s="430" t="s">
        <v>599</v>
      </c>
      <c r="C156" s="431"/>
      <c r="D156" s="431"/>
      <c r="E156" s="431"/>
      <c r="F156" s="419">
        <v>2019</v>
      </c>
      <c r="G156" s="419"/>
      <c r="H156" s="420">
        <v>2020</v>
      </c>
      <c r="I156" s="421"/>
      <c r="L156" s="238"/>
      <c r="M156" s="15"/>
      <c r="N156" s="226"/>
    </row>
    <row r="157" spans="2:14" s="46" customFormat="1" x14ac:dyDescent="0.2">
      <c r="B157" s="407" t="s">
        <v>623</v>
      </c>
      <c r="C157" s="408"/>
      <c r="D157" s="408"/>
      <c r="E157" s="408"/>
      <c r="F157" s="408"/>
      <c r="G157" s="408"/>
      <c r="H157" s="408"/>
      <c r="I157" s="409"/>
      <c r="K157" s="367">
        <f>G165+G153</f>
        <v>15875481.875</v>
      </c>
      <c r="L157" s="370" t="s">
        <v>526</v>
      </c>
    </row>
    <row r="158" spans="2:14" s="46" customFormat="1" x14ac:dyDescent="0.2">
      <c r="B158" s="517" t="s">
        <v>684</v>
      </c>
      <c r="C158" s="518"/>
      <c r="D158" s="518"/>
      <c r="E158" s="518"/>
      <c r="F158" s="518"/>
      <c r="G158" s="518"/>
      <c r="H158" s="518"/>
      <c r="I158" s="519"/>
      <c r="K158" s="367">
        <f>G162</f>
        <v>500000</v>
      </c>
      <c r="L158" s="6" t="s">
        <v>679</v>
      </c>
    </row>
    <row r="159" spans="2:14" s="46" customFormat="1" x14ac:dyDescent="0.2">
      <c r="B159" s="511">
        <v>72</v>
      </c>
      <c r="C159" s="500" t="s">
        <v>684</v>
      </c>
      <c r="D159" s="500"/>
      <c r="E159" s="500"/>
      <c r="F159" s="500"/>
      <c r="G159" s="500"/>
      <c r="H159" s="500"/>
      <c r="I159" s="501"/>
      <c r="K159" s="368">
        <f>K157-K158</f>
        <v>15375481.875</v>
      </c>
      <c r="L159" s="369" t="s">
        <v>685</v>
      </c>
    </row>
    <row r="160" spans="2:14" s="46" customFormat="1" x14ac:dyDescent="0.2">
      <c r="B160" s="511"/>
      <c r="C160" s="299">
        <v>2</v>
      </c>
      <c r="D160" s="29"/>
      <c r="E160" s="6" t="s">
        <v>215</v>
      </c>
      <c r="F160" s="301">
        <v>4000000</v>
      </c>
      <c r="G160" s="301">
        <v>4236841.9970000004</v>
      </c>
      <c r="H160" s="137">
        <v>7000000</v>
      </c>
      <c r="I160" s="112">
        <f>IFERROR(H160/F160,"")</f>
        <v>1.75</v>
      </c>
    </row>
    <row r="161" spans="2:16" s="46" customFormat="1" x14ac:dyDescent="0.2">
      <c r="B161" s="364"/>
      <c r="C161" s="374"/>
      <c r="D161" s="29"/>
      <c r="E161" s="376" t="s">
        <v>687</v>
      </c>
      <c r="F161" s="375"/>
      <c r="G161" s="375"/>
      <c r="H161" s="137">
        <v>2000000</v>
      </c>
      <c r="I161" s="112" t="str">
        <f>IFERROR(H161/F161,"")</f>
        <v/>
      </c>
    </row>
    <row r="162" spans="2:16" s="46" customFormat="1" x14ac:dyDescent="0.2">
      <c r="B162" s="364"/>
      <c r="C162" s="342"/>
      <c r="D162" s="29"/>
      <c r="E162" s="6" t="s">
        <v>676</v>
      </c>
      <c r="F162" s="343">
        <v>500000</v>
      </c>
      <c r="G162" s="343">
        <v>500000</v>
      </c>
      <c r="H162" s="137"/>
      <c r="I162" s="112">
        <f t="shared" ref="I162:I165" si="18">IFERROR(H162/F162,"")</f>
        <v>0</v>
      </c>
    </row>
    <row r="163" spans="2:16" s="46" customFormat="1" x14ac:dyDescent="0.2">
      <c r="B163" s="365"/>
      <c r="C163" s="299"/>
      <c r="D163" s="29"/>
      <c r="E163" s="7" t="s">
        <v>674</v>
      </c>
      <c r="F163" s="236">
        <f>'ن-فرعي'!F373-F160-F162</f>
        <v>11500000</v>
      </c>
      <c r="G163" s="236">
        <f>'ن-فرعي'!H373-G160-G162</f>
        <v>9053750.3260000013</v>
      </c>
      <c r="H163" s="137">
        <f>'ن-فرعي'!J373-H160-H161-H162</f>
        <v>14090000</v>
      </c>
      <c r="I163" s="112">
        <f t="shared" si="18"/>
        <v>1.2252173913043478</v>
      </c>
      <c r="K163" s="238"/>
      <c r="O163" s="25"/>
      <c r="P163" s="25"/>
    </row>
    <row r="164" spans="2:16" s="46" customFormat="1" x14ac:dyDescent="0.2">
      <c r="B164" s="432" t="s">
        <v>675</v>
      </c>
      <c r="C164" s="433"/>
      <c r="D164" s="433"/>
      <c r="E164" s="433"/>
      <c r="F164" s="150">
        <f>SUM(F160:F163)</f>
        <v>16000000</v>
      </c>
      <c r="G164" s="150">
        <f t="shared" ref="G164:H164" si="19">SUM(G160:G163)</f>
        <v>13790592.323000003</v>
      </c>
      <c r="H164" s="150">
        <f t="shared" si="19"/>
        <v>23090000</v>
      </c>
      <c r="I164" s="112">
        <f t="shared" si="18"/>
        <v>1.443125</v>
      </c>
      <c r="K164" s="60" t="s">
        <v>622</v>
      </c>
      <c r="P164" s="25"/>
    </row>
    <row r="165" spans="2:16" s="46" customFormat="1" x14ac:dyDescent="0.2">
      <c r="B165" s="477" t="s">
        <v>608</v>
      </c>
      <c r="C165" s="478"/>
      <c r="D165" s="478"/>
      <c r="E165" s="478"/>
      <c r="F165" s="146">
        <f>SUM(F164)</f>
        <v>16000000</v>
      </c>
      <c r="G165" s="146">
        <f t="shared" ref="G165:H165" si="20">SUM(G164)</f>
        <v>13790592.323000003</v>
      </c>
      <c r="H165" s="146">
        <f t="shared" si="20"/>
        <v>23090000</v>
      </c>
      <c r="I165" s="112">
        <f t="shared" si="18"/>
        <v>1.443125</v>
      </c>
      <c r="K165" s="281" t="s">
        <v>655</v>
      </c>
      <c r="P165" s="25"/>
    </row>
    <row r="166" spans="2:16" s="46" customFormat="1" x14ac:dyDescent="0.2">
      <c r="B166" s="508"/>
      <c r="C166" s="509"/>
      <c r="D166" s="509"/>
      <c r="E166" s="509"/>
      <c r="F166" s="509"/>
      <c r="G166" s="509"/>
      <c r="H166" s="509"/>
      <c r="I166" s="510"/>
    </row>
    <row r="167" spans="2:16" x14ac:dyDescent="0.2">
      <c r="B167" s="430" t="s">
        <v>611</v>
      </c>
      <c r="C167" s="431"/>
      <c r="D167" s="431"/>
      <c r="E167" s="431"/>
      <c r="F167" s="419">
        <v>2019</v>
      </c>
      <c r="G167" s="419"/>
      <c r="H167" s="420">
        <v>2020</v>
      </c>
      <c r="I167" s="421"/>
    </row>
    <row r="168" spans="2:16" x14ac:dyDescent="0.2">
      <c r="B168" s="407" t="s">
        <v>653</v>
      </c>
      <c r="C168" s="408"/>
      <c r="D168" s="408"/>
      <c r="E168" s="408"/>
      <c r="F168" s="408"/>
      <c r="G168" s="408"/>
      <c r="H168" s="408"/>
      <c r="I168" s="409"/>
    </row>
    <row r="169" spans="2:16" x14ac:dyDescent="0.2">
      <c r="B169" s="472" t="s">
        <v>628</v>
      </c>
      <c r="C169" s="473"/>
      <c r="D169" s="473"/>
      <c r="E169" s="473"/>
      <c r="F169" s="473"/>
      <c r="G169" s="473"/>
      <c r="H169" s="473"/>
      <c r="I169" s="474"/>
    </row>
    <row r="170" spans="2:16" x14ac:dyDescent="0.2">
      <c r="B170" s="511">
        <v>93</v>
      </c>
      <c r="C170" s="500" t="str">
        <f>'ن-فرعي'!C378:K378</f>
        <v>مشاريع مشروطة بالتمويل</v>
      </c>
      <c r="D170" s="500"/>
      <c r="E170" s="500"/>
      <c r="F170" s="500"/>
      <c r="G170" s="500"/>
      <c r="H170" s="500"/>
      <c r="I170" s="501"/>
    </row>
    <row r="171" spans="2:16" x14ac:dyDescent="0.2">
      <c r="B171" s="511"/>
      <c r="C171" s="499">
        <v>1</v>
      </c>
      <c r="D171" s="29">
        <v>19301002</v>
      </c>
      <c r="E171" s="7" t="s">
        <v>591</v>
      </c>
      <c r="F171" s="301">
        <v>1000000</v>
      </c>
      <c r="G171" s="301">
        <v>738348.18299999996</v>
      </c>
      <c r="H171" s="137">
        <f>' جهات'!K486</f>
        <v>500000</v>
      </c>
      <c r="I171" s="112">
        <f t="shared" ref="I171:I181" si="21">IFERROR(H171/F171,"")</f>
        <v>0.5</v>
      </c>
    </row>
    <row r="172" spans="2:16" x14ac:dyDescent="0.2">
      <c r="B172" s="511"/>
      <c r="C172" s="499"/>
      <c r="D172" s="124">
        <v>19301005</v>
      </c>
      <c r="E172" s="66" t="s">
        <v>447</v>
      </c>
      <c r="F172" s="301">
        <v>100000</v>
      </c>
      <c r="G172" s="301">
        <v>130826.83500000001</v>
      </c>
      <c r="H172" s="137"/>
      <c r="I172" s="112">
        <f t="shared" si="21"/>
        <v>0</v>
      </c>
    </row>
    <row r="173" spans="2:16" s="46" customFormat="1" x14ac:dyDescent="0.2">
      <c r="B173" s="511"/>
      <c r="C173" s="499"/>
      <c r="D173" s="123"/>
      <c r="E173" s="55" t="s">
        <v>592</v>
      </c>
      <c r="F173" s="301"/>
      <c r="G173" s="301"/>
      <c r="H173" s="137">
        <f>' جهات'!K488</f>
        <v>1500000</v>
      </c>
      <c r="I173" s="112" t="str">
        <f t="shared" si="21"/>
        <v/>
      </c>
    </row>
    <row r="174" spans="2:16" x14ac:dyDescent="0.2">
      <c r="B174" s="511"/>
      <c r="C174" s="499"/>
      <c r="D174" s="29">
        <v>19301010</v>
      </c>
      <c r="E174" s="7" t="s">
        <v>593</v>
      </c>
      <c r="F174" s="301">
        <v>1000000</v>
      </c>
      <c r="G174" s="301">
        <v>736027.24600000004</v>
      </c>
      <c r="H174" s="137">
        <f>' جهات'!K489</f>
        <v>400000</v>
      </c>
      <c r="I174" s="112">
        <f t="shared" si="21"/>
        <v>0.4</v>
      </c>
    </row>
    <row r="175" spans="2:16" x14ac:dyDescent="0.2">
      <c r="B175" s="511"/>
      <c r="C175" s="499"/>
      <c r="D175" s="29">
        <v>19301021</v>
      </c>
      <c r="E175" s="7" t="s">
        <v>594</v>
      </c>
      <c r="F175" s="301">
        <v>1000000</v>
      </c>
      <c r="G175" s="301">
        <v>0</v>
      </c>
      <c r="H175" s="137">
        <f>' جهات'!K490</f>
        <v>1000000</v>
      </c>
      <c r="I175" s="112">
        <f t="shared" si="21"/>
        <v>1</v>
      </c>
    </row>
    <row r="176" spans="2:16" s="46" customFormat="1" x14ac:dyDescent="0.2">
      <c r="B176" s="511"/>
      <c r="C176" s="499"/>
      <c r="D176" s="29">
        <v>19301023</v>
      </c>
      <c r="E176" s="6" t="s">
        <v>458</v>
      </c>
      <c r="F176" s="301">
        <v>200000</v>
      </c>
      <c r="G176" s="301">
        <v>0</v>
      </c>
      <c r="H176" s="137">
        <f>' جهات'!K491</f>
        <v>75000</v>
      </c>
      <c r="I176" s="112">
        <f t="shared" si="21"/>
        <v>0.375</v>
      </c>
    </row>
    <row r="177" spans="2:9" s="46" customFormat="1" x14ac:dyDescent="0.2">
      <c r="B177" s="511"/>
      <c r="C177" s="499"/>
      <c r="D177" s="120">
        <v>19301024</v>
      </c>
      <c r="E177" s="66" t="s">
        <v>459</v>
      </c>
      <c r="F177" s="301">
        <v>200000</v>
      </c>
      <c r="G177" s="301">
        <v>0</v>
      </c>
      <c r="H177" s="137"/>
      <c r="I177" s="112">
        <f t="shared" si="21"/>
        <v>0</v>
      </c>
    </row>
    <row r="178" spans="2:9" s="46" customFormat="1" x14ac:dyDescent="0.2">
      <c r="B178" s="511"/>
      <c r="C178" s="499"/>
      <c r="D178" s="120">
        <v>19301025</v>
      </c>
      <c r="E178" s="66" t="s">
        <v>460</v>
      </c>
      <c r="F178" s="301">
        <v>200000</v>
      </c>
      <c r="G178" s="301">
        <v>0</v>
      </c>
      <c r="H178" s="137"/>
      <c r="I178" s="112">
        <f t="shared" si="21"/>
        <v>0</v>
      </c>
    </row>
    <row r="179" spans="2:9" s="46" customFormat="1" x14ac:dyDescent="0.2">
      <c r="B179" s="511"/>
      <c r="C179" s="499"/>
      <c r="D179" s="29">
        <v>19301026</v>
      </c>
      <c r="E179" s="6" t="s">
        <v>461</v>
      </c>
      <c r="F179" s="301">
        <v>3900000</v>
      </c>
      <c r="G179" s="301">
        <v>0</v>
      </c>
      <c r="H179" s="137">
        <f>' جهات'!K494</f>
        <v>3000000</v>
      </c>
      <c r="I179" s="112">
        <f t="shared" si="21"/>
        <v>0.76923076923076927</v>
      </c>
    </row>
    <row r="180" spans="2:9" s="46" customFormat="1" x14ac:dyDescent="0.2">
      <c r="B180" s="511"/>
      <c r="C180" s="499"/>
      <c r="D180" s="29">
        <v>19301027</v>
      </c>
      <c r="E180" s="6" t="s">
        <v>462</v>
      </c>
      <c r="F180" s="301">
        <v>200000</v>
      </c>
      <c r="G180" s="301">
        <v>0</v>
      </c>
      <c r="H180" s="137">
        <f>' جهات'!K495</f>
        <v>180000</v>
      </c>
      <c r="I180" s="112">
        <f t="shared" si="21"/>
        <v>0.9</v>
      </c>
    </row>
    <row r="181" spans="2:9" x14ac:dyDescent="0.2">
      <c r="B181" s="511"/>
      <c r="C181" s="497" t="s">
        <v>23</v>
      </c>
      <c r="D181" s="497"/>
      <c r="E181" s="497"/>
      <c r="F181" s="149">
        <f>SUM(F171:F180)</f>
        <v>7800000</v>
      </c>
      <c r="G181" s="149">
        <f>SUM(G171:G180)</f>
        <v>1605202.264</v>
      </c>
      <c r="H181" s="149">
        <f>SUM(H171:H180)</f>
        <v>6655000</v>
      </c>
      <c r="I181" s="112">
        <f t="shared" si="21"/>
        <v>0.85320512820512817</v>
      </c>
    </row>
    <row r="182" spans="2:9" x14ac:dyDescent="0.2">
      <c r="B182" s="511"/>
      <c r="C182" s="500" t="s">
        <v>332</v>
      </c>
      <c r="D182" s="500"/>
      <c r="E182" s="500"/>
      <c r="F182" s="500"/>
      <c r="G182" s="500"/>
      <c r="H182" s="500"/>
      <c r="I182" s="501"/>
    </row>
    <row r="183" spans="2:9" x14ac:dyDescent="0.2">
      <c r="B183" s="511"/>
      <c r="C183" s="499">
        <v>2</v>
      </c>
      <c r="D183" s="29">
        <v>19302001</v>
      </c>
      <c r="E183" s="6" t="s">
        <v>333</v>
      </c>
      <c r="F183" s="301">
        <v>100000</v>
      </c>
      <c r="G183" s="301">
        <v>0</v>
      </c>
      <c r="H183" s="137">
        <f>' جهات'!K496</f>
        <v>100000</v>
      </c>
      <c r="I183" s="112">
        <f t="shared" ref="I183:I193" si="22">IFERROR(H183/F183,"")</f>
        <v>1</v>
      </c>
    </row>
    <row r="184" spans="2:9" x14ac:dyDescent="0.2">
      <c r="B184" s="511"/>
      <c r="C184" s="499"/>
      <c r="D184" s="29">
        <v>19302002</v>
      </c>
      <c r="E184" s="6" t="s">
        <v>334</v>
      </c>
      <c r="F184" s="301">
        <v>100000</v>
      </c>
      <c r="G184" s="301">
        <v>0</v>
      </c>
      <c r="H184" s="137">
        <f>' جهات'!K497</f>
        <v>100000</v>
      </c>
      <c r="I184" s="112">
        <f t="shared" si="22"/>
        <v>1</v>
      </c>
    </row>
    <row r="185" spans="2:9" x14ac:dyDescent="0.2">
      <c r="B185" s="511"/>
      <c r="C185" s="499"/>
      <c r="D185" s="29">
        <v>19302003</v>
      </c>
      <c r="E185" s="6" t="s">
        <v>335</v>
      </c>
      <c r="F185" s="301">
        <v>100000</v>
      </c>
      <c r="G185" s="301">
        <v>0</v>
      </c>
      <c r="H185" s="137">
        <f>' جهات'!K498</f>
        <v>100000</v>
      </c>
      <c r="I185" s="112">
        <f t="shared" si="22"/>
        <v>1</v>
      </c>
    </row>
    <row r="186" spans="2:9" x14ac:dyDescent="0.2">
      <c r="B186" s="511"/>
      <c r="C186" s="499"/>
      <c r="D186" s="29">
        <v>19302004</v>
      </c>
      <c r="E186" s="6" t="s">
        <v>336</v>
      </c>
      <c r="F186" s="301">
        <v>100000</v>
      </c>
      <c r="G186" s="301">
        <v>0</v>
      </c>
      <c r="H186" s="137">
        <f>' جهات'!K499</f>
        <v>100000</v>
      </c>
      <c r="I186" s="112">
        <f t="shared" si="22"/>
        <v>1</v>
      </c>
    </row>
    <row r="187" spans="2:9" s="46" customFormat="1" x14ac:dyDescent="0.2">
      <c r="B187" s="511"/>
      <c r="C187" s="499"/>
      <c r="D187" s="29">
        <v>19302005</v>
      </c>
      <c r="E187" s="6" t="s">
        <v>457</v>
      </c>
      <c r="F187" s="301">
        <v>100000</v>
      </c>
      <c r="G187" s="301">
        <v>14528.2</v>
      </c>
      <c r="H187" s="137">
        <f>' جهات'!K500</f>
        <v>100000</v>
      </c>
      <c r="I187" s="112">
        <f t="shared" si="22"/>
        <v>1</v>
      </c>
    </row>
    <row r="188" spans="2:9" s="46" customFormat="1" x14ac:dyDescent="0.2">
      <c r="B188" s="511"/>
      <c r="C188" s="499"/>
      <c r="D188" s="29">
        <v>19302006</v>
      </c>
      <c r="E188" s="6" t="s">
        <v>475</v>
      </c>
      <c r="F188" s="301">
        <v>2000000</v>
      </c>
      <c r="G188" s="301">
        <v>0</v>
      </c>
      <c r="H188" s="137">
        <f>' جهات'!K501</f>
        <v>1000000</v>
      </c>
      <c r="I188" s="112">
        <f t="shared" si="22"/>
        <v>0.5</v>
      </c>
    </row>
    <row r="189" spans="2:9" s="46" customFormat="1" x14ac:dyDescent="0.2">
      <c r="B189" s="511"/>
      <c r="C189" s="499"/>
      <c r="D189" s="29">
        <v>19302007</v>
      </c>
      <c r="E189" s="65" t="s">
        <v>505</v>
      </c>
      <c r="F189" s="301">
        <v>200000</v>
      </c>
      <c r="G189" s="301">
        <v>0</v>
      </c>
      <c r="H189" s="137">
        <f>' جهات'!K502</f>
        <v>200000</v>
      </c>
      <c r="I189" s="112">
        <f t="shared" si="22"/>
        <v>1</v>
      </c>
    </row>
    <row r="190" spans="2:9" s="46" customFormat="1" x14ac:dyDescent="0.2">
      <c r="B190" s="511"/>
      <c r="C190" s="499"/>
      <c r="D190" s="121"/>
      <c r="E190" s="55" t="s">
        <v>564</v>
      </c>
      <c r="F190" s="301"/>
      <c r="G190" s="301"/>
      <c r="H190" s="137">
        <f>' جهات'!K503</f>
        <v>75000</v>
      </c>
      <c r="I190" s="112" t="str">
        <f t="shared" si="22"/>
        <v/>
      </c>
    </row>
    <row r="191" spans="2:9" s="46" customFormat="1" x14ac:dyDescent="0.2">
      <c r="B191" s="511"/>
      <c r="C191" s="499"/>
      <c r="D191" s="121"/>
      <c r="E191" s="55" t="s">
        <v>518</v>
      </c>
      <c r="F191" s="301"/>
      <c r="G191" s="301"/>
      <c r="H191" s="137">
        <f>' جهات'!K504</f>
        <v>70000</v>
      </c>
      <c r="I191" s="112" t="str">
        <f t="shared" si="22"/>
        <v/>
      </c>
    </row>
    <row r="192" spans="2:9" x14ac:dyDescent="0.2">
      <c r="B192" s="511"/>
      <c r="C192" s="497" t="s">
        <v>23</v>
      </c>
      <c r="D192" s="497"/>
      <c r="E192" s="497"/>
      <c r="F192" s="149">
        <f>SUM(F183:F191)</f>
        <v>2700000</v>
      </c>
      <c r="G192" s="149">
        <f>SUM(G183:G191)</f>
        <v>14528.2</v>
      </c>
      <c r="H192" s="149">
        <f t="shared" ref="H192" si="23">SUM(H183:H191)</f>
        <v>1845000</v>
      </c>
      <c r="I192" s="112">
        <f t="shared" si="22"/>
        <v>0.68333333333333335</v>
      </c>
    </row>
    <row r="193" spans="2:14" s="46" customFormat="1" x14ac:dyDescent="0.2">
      <c r="B193" s="432" t="s">
        <v>627</v>
      </c>
      <c r="C193" s="433"/>
      <c r="D193" s="433"/>
      <c r="E193" s="433"/>
      <c r="F193" s="150">
        <f t="shared" ref="F193:H193" si="24">F181+F192</f>
        <v>10500000</v>
      </c>
      <c r="G193" s="150">
        <f t="shared" si="24"/>
        <v>1619730.4639999999</v>
      </c>
      <c r="H193" s="150">
        <f t="shared" si="24"/>
        <v>8500000</v>
      </c>
      <c r="I193" s="112">
        <f t="shared" si="22"/>
        <v>0.80952380952380953</v>
      </c>
    </row>
    <row r="194" spans="2:14" s="46" customFormat="1" x14ac:dyDescent="0.2">
      <c r="B194" s="472" t="s">
        <v>632</v>
      </c>
      <c r="C194" s="473"/>
      <c r="D194" s="473"/>
      <c r="E194" s="473"/>
      <c r="F194" s="473"/>
      <c r="G194" s="473"/>
      <c r="H194" s="473"/>
      <c r="I194" s="474"/>
    </row>
    <row r="195" spans="2:14" x14ac:dyDescent="0.2">
      <c r="B195" s="511">
        <v>94</v>
      </c>
      <c r="C195" s="515" t="s">
        <v>590</v>
      </c>
      <c r="D195" s="515"/>
      <c r="E195" s="515"/>
      <c r="F195" s="515"/>
      <c r="G195" s="515"/>
      <c r="H195" s="515"/>
      <c r="I195" s="516"/>
    </row>
    <row r="196" spans="2:14" s="46" customFormat="1" x14ac:dyDescent="0.2">
      <c r="B196" s="511"/>
      <c r="C196" s="507">
        <v>1</v>
      </c>
      <c r="D196" s="234"/>
      <c r="E196" s="57" t="s">
        <v>612</v>
      </c>
      <c r="F196" s="56"/>
      <c r="G196" s="56"/>
      <c r="H196" s="147">
        <v>10000</v>
      </c>
      <c r="I196" s="112" t="str">
        <f t="shared" ref="I196:I207" si="25">IFERROR(H196/F196,"")</f>
        <v/>
      </c>
    </row>
    <row r="197" spans="2:14" x14ac:dyDescent="0.2">
      <c r="B197" s="511"/>
      <c r="C197" s="507"/>
      <c r="D197" s="233"/>
      <c r="E197" s="50" t="s">
        <v>566</v>
      </c>
      <c r="F197" s="56">
        <f>IF(' جهات'!G507&gt;0,+' جهات'!G507,"")</f>
        <v>25000</v>
      </c>
      <c r="G197" s="56">
        <f>IF(' جهات'!I507&gt;0,+' جهات'!I507,"")</f>
        <v>15320</v>
      </c>
      <c r="H197" s="147">
        <v>15000</v>
      </c>
      <c r="I197" s="112">
        <f t="shared" si="25"/>
        <v>0.6</v>
      </c>
      <c r="K197" s="26"/>
    </row>
    <row r="198" spans="2:14" x14ac:dyDescent="0.2">
      <c r="B198" s="511"/>
      <c r="C198" s="507"/>
      <c r="D198" s="233"/>
      <c r="E198" s="50" t="s">
        <v>567</v>
      </c>
      <c r="F198" s="56">
        <f>IF(' جهات'!G508&gt;0,+' جهات'!G508,"")</f>
        <v>100000</v>
      </c>
      <c r="G198" s="56">
        <f>IF(' جهات'!I508&gt;0,+' جهات'!I508,"")</f>
        <v>85006</v>
      </c>
      <c r="H198" s="147">
        <v>100000</v>
      </c>
      <c r="I198" s="112">
        <f t="shared" si="25"/>
        <v>1</v>
      </c>
    </row>
    <row r="199" spans="2:14" x14ac:dyDescent="0.2">
      <c r="B199" s="511"/>
      <c r="C199" s="507"/>
      <c r="D199" s="233"/>
      <c r="E199" s="50" t="s">
        <v>568</v>
      </c>
      <c r="F199" s="56">
        <v>50000</v>
      </c>
      <c r="G199" s="56">
        <f>IF(' جهات'!I509&gt;0,+' جهات'!I509,"")</f>
        <v>39456</v>
      </c>
      <c r="H199" s="147">
        <v>50000</v>
      </c>
      <c r="I199" s="112">
        <f t="shared" si="25"/>
        <v>1</v>
      </c>
    </row>
    <row r="200" spans="2:14" s="46" customFormat="1" x14ac:dyDescent="0.2">
      <c r="B200" s="511"/>
      <c r="C200" s="507"/>
      <c r="D200" s="235"/>
      <c r="E200" s="57" t="s">
        <v>569</v>
      </c>
      <c r="F200" s="56">
        <v>800000</v>
      </c>
      <c r="G200" s="56">
        <f>IF(' جهات'!I510&gt;0,+' جهات'!I510,"")</f>
        <v>1217849.1000000001</v>
      </c>
      <c r="H200" s="147">
        <v>1160000</v>
      </c>
      <c r="I200" s="112">
        <f t="shared" si="25"/>
        <v>1.45</v>
      </c>
    </row>
    <row r="201" spans="2:14" x14ac:dyDescent="0.2">
      <c r="B201" s="511"/>
      <c r="C201" s="507"/>
      <c r="D201" s="233"/>
      <c r="E201" s="50" t="s">
        <v>570</v>
      </c>
      <c r="F201" s="56">
        <v>15000</v>
      </c>
      <c r="G201" s="56">
        <f>IF(' جهات'!I511&gt;0,+' جهات'!I511,"")</f>
        <v>16012.800000000001</v>
      </c>
      <c r="H201" s="147">
        <v>20000</v>
      </c>
      <c r="I201" s="112">
        <f t="shared" si="25"/>
        <v>1.3333333333333333</v>
      </c>
    </row>
    <row r="202" spans="2:14" s="46" customFormat="1" x14ac:dyDescent="0.2">
      <c r="B202" s="511"/>
      <c r="C202" s="507"/>
      <c r="D202" s="235"/>
      <c r="E202" s="57" t="s">
        <v>571</v>
      </c>
      <c r="F202" s="56">
        <v>30000</v>
      </c>
      <c r="G202" s="56">
        <f>IF(' جهات'!I512&gt;0,+' جهات'!I512,"")</f>
        <v>22186.499999999993</v>
      </c>
      <c r="H202" s="147">
        <v>25000</v>
      </c>
      <c r="I202" s="112">
        <f t="shared" si="25"/>
        <v>0.83333333333333337</v>
      </c>
      <c r="N202" s="52"/>
    </row>
    <row r="203" spans="2:14" x14ac:dyDescent="0.2">
      <c r="B203" s="511"/>
      <c r="C203" s="507"/>
      <c r="D203" s="233"/>
      <c r="E203" s="50" t="s">
        <v>572</v>
      </c>
      <c r="F203" s="56">
        <v>90000</v>
      </c>
      <c r="G203" s="56">
        <f>IF(' جهات'!I513&gt;0,+' جهات'!I513,"")</f>
        <v>92311.3</v>
      </c>
      <c r="H203" s="147">
        <v>100000</v>
      </c>
      <c r="I203" s="112">
        <f t="shared" si="25"/>
        <v>1.1111111111111112</v>
      </c>
      <c r="N203" s="52"/>
    </row>
    <row r="204" spans="2:14" s="46" customFormat="1" x14ac:dyDescent="0.2">
      <c r="B204" s="511"/>
      <c r="C204" s="507"/>
      <c r="D204" s="235"/>
      <c r="E204" s="57" t="s">
        <v>573</v>
      </c>
      <c r="F204" s="56">
        <v>10000</v>
      </c>
      <c r="G204" s="56">
        <f>IF(' جهات'!I514&gt;0,+' جهات'!I514,"")</f>
        <v>15245</v>
      </c>
      <c r="H204" s="147">
        <v>20000</v>
      </c>
      <c r="I204" s="112">
        <f t="shared" si="25"/>
        <v>2</v>
      </c>
      <c r="N204" s="52"/>
    </row>
    <row r="205" spans="2:14" s="46" customFormat="1" x14ac:dyDescent="0.2">
      <c r="B205" s="511"/>
      <c r="C205" s="497" t="s">
        <v>23</v>
      </c>
      <c r="D205" s="497"/>
      <c r="E205" s="497"/>
      <c r="F205" s="242">
        <f>SUM(F196:F204)</f>
        <v>1120000</v>
      </c>
      <c r="G205" s="242">
        <f t="shared" ref="G205:H205" si="26">SUM(G196:G204)</f>
        <v>1503386.7000000002</v>
      </c>
      <c r="H205" s="242">
        <f t="shared" si="26"/>
        <v>1500000</v>
      </c>
      <c r="I205" s="112">
        <f t="shared" si="25"/>
        <v>1.3392857142857142</v>
      </c>
      <c r="N205" s="52"/>
    </row>
    <row r="206" spans="2:14" s="46" customFormat="1" x14ac:dyDescent="0.2">
      <c r="B206" s="432" t="s">
        <v>631</v>
      </c>
      <c r="C206" s="433"/>
      <c r="D206" s="433"/>
      <c r="E206" s="433"/>
      <c r="F206" s="251">
        <f>SUM(F205)</f>
        <v>1120000</v>
      </c>
      <c r="G206" s="251">
        <f t="shared" ref="G206:H206" si="27">SUM(G205)</f>
        <v>1503386.7000000002</v>
      </c>
      <c r="H206" s="251">
        <f t="shared" si="27"/>
        <v>1500000</v>
      </c>
      <c r="I206" s="112">
        <f t="shared" si="25"/>
        <v>1.3392857142857142</v>
      </c>
      <c r="N206" s="52"/>
    </row>
    <row r="207" spans="2:14" ht="15" thickBot="1" x14ac:dyDescent="0.25">
      <c r="B207" s="475" t="s">
        <v>658</v>
      </c>
      <c r="C207" s="476"/>
      <c r="D207" s="476"/>
      <c r="E207" s="476"/>
      <c r="F207" s="243">
        <f>F193+F206</f>
        <v>11620000</v>
      </c>
      <c r="G207" s="243">
        <f t="shared" ref="G207:H207" si="28">G193+G206</f>
        <v>3123117.1639999999</v>
      </c>
      <c r="H207" s="243">
        <f t="shared" si="28"/>
        <v>10000000</v>
      </c>
      <c r="I207" s="196">
        <f t="shared" si="25"/>
        <v>0.86058519793459554</v>
      </c>
    </row>
    <row r="209" spans="6:8" x14ac:dyDescent="0.2">
      <c r="F209" s="229">
        <f>F154+F165+F207</f>
        <v>64000000</v>
      </c>
      <c r="G209" s="229">
        <f>G154+G165+G207</f>
        <v>47569240.414999999</v>
      </c>
      <c r="H209" s="229">
        <f>H154+H165+H207</f>
        <v>68814000</v>
      </c>
    </row>
    <row r="210" spans="6:8" x14ac:dyDescent="0.2">
      <c r="F210" s="229">
        <f>'ن-فرعي'!F417-'ر-فرعي'!F209</f>
        <v>0</v>
      </c>
      <c r="G210" s="229">
        <f>'ن-فرعي'!H417-'ر-فرعي'!G209</f>
        <v>0</v>
      </c>
      <c r="H210" s="229">
        <f>'ن-فرعي'!J417-'ر-فرعي'!H209</f>
        <v>0</v>
      </c>
    </row>
    <row r="212" spans="6:8" x14ac:dyDescent="0.2">
      <c r="G212" s="229"/>
    </row>
    <row r="213" spans="6:8" x14ac:dyDescent="0.2">
      <c r="G213" s="229"/>
    </row>
  </sheetData>
  <mergeCells count="122">
    <mergeCell ref="C192:E192"/>
    <mergeCell ref="B148:E148"/>
    <mergeCell ref="B147:E147"/>
    <mergeCell ref="C159:I159"/>
    <mergeCell ref="B158:I158"/>
    <mergeCell ref="B149:E149"/>
    <mergeCell ref="C143:I143"/>
    <mergeCell ref="C146:E146"/>
    <mergeCell ref="B141:I141"/>
    <mergeCell ref="B159:B160"/>
    <mergeCell ref="B169:I169"/>
    <mergeCell ref="C170:I170"/>
    <mergeCell ref="C181:E181"/>
    <mergeCell ref="B157:I157"/>
    <mergeCell ref="C129:E129"/>
    <mergeCell ref="C132:E132"/>
    <mergeCell ref="C135:E135"/>
    <mergeCell ref="B143:B146"/>
    <mergeCell ref="B156:E156"/>
    <mergeCell ref="F156:G156"/>
    <mergeCell ref="H156:I156"/>
    <mergeCell ref="B166:I166"/>
    <mergeCell ref="C144:C145"/>
    <mergeCell ref="B142:I142"/>
    <mergeCell ref="B109:B138"/>
    <mergeCell ref="C109:I109"/>
    <mergeCell ref="B207:E207"/>
    <mergeCell ref="C196:C204"/>
    <mergeCell ref="B155:I155"/>
    <mergeCell ref="B165:E165"/>
    <mergeCell ref="B154:E154"/>
    <mergeCell ref="B150:I150"/>
    <mergeCell ref="B194:I194"/>
    <mergeCell ref="B170:B192"/>
    <mergeCell ref="C171:C180"/>
    <mergeCell ref="C183:C191"/>
    <mergeCell ref="F167:G167"/>
    <mergeCell ref="H167:I167"/>
    <mergeCell ref="B167:E167"/>
    <mergeCell ref="C151:I151"/>
    <mergeCell ref="B153:E153"/>
    <mergeCell ref="B151:B152"/>
    <mergeCell ref="B206:E206"/>
    <mergeCell ref="B193:E193"/>
    <mergeCell ref="C182:I182"/>
    <mergeCell ref="C195:I195"/>
    <mergeCell ref="C205:E205"/>
    <mergeCell ref="B164:E164"/>
    <mergeCell ref="B195:B205"/>
    <mergeCell ref="B168:I168"/>
    <mergeCell ref="H3:I3"/>
    <mergeCell ref="C6:I6"/>
    <mergeCell ref="B5:I5"/>
    <mergeCell ref="C34:C39"/>
    <mergeCell ref="C26:C31"/>
    <mergeCell ref="C17:E17"/>
    <mergeCell ref="C110:C128"/>
    <mergeCell ref="C136:I136"/>
    <mergeCell ref="C88:E88"/>
    <mergeCell ref="C82:I82"/>
    <mergeCell ref="C41:I41"/>
    <mergeCell ref="C13:I13"/>
    <mergeCell ref="C40:E40"/>
    <mergeCell ref="C65:C66"/>
    <mergeCell ref="B6:B67"/>
    <mergeCell ref="B72:B74"/>
    <mergeCell ref="B108:I108"/>
    <mergeCell ref="C72:I72"/>
    <mergeCell ref="C74:E74"/>
    <mergeCell ref="C133:I133"/>
    <mergeCell ref="C130:I130"/>
    <mergeCell ref="C104:C105"/>
    <mergeCell ref="C79:I79"/>
    <mergeCell ref="B78:I78"/>
    <mergeCell ref="D1:I1"/>
    <mergeCell ref="B4:I4"/>
    <mergeCell ref="C48:E48"/>
    <mergeCell ref="C7:C11"/>
    <mergeCell ref="C67:E67"/>
    <mergeCell ref="F3:G3"/>
    <mergeCell ref="C12:E12"/>
    <mergeCell ref="C64:I64"/>
    <mergeCell ref="C63:E63"/>
    <mergeCell ref="C57:I57"/>
    <mergeCell ref="C56:E56"/>
    <mergeCell ref="C49:I49"/>
    <mergeCell ref="C19:C23"/>
    <mergeCell ref="C58:C62"/>
    <mergeCell ref="C50:C55"/>
    <mergeCell ref="C42:C47"/>
    <mergeCell ref="B1:C3"/>
    <mergeCell ref="C32:E32"/>
    <mergeCell ref="D2:D3"/>
    <mergeCell ref="E2:E3"/>
    <mergeCell ref="C14:C16"/>
    <mergeCell ref="C25:I25"/>
    <mergeCell ref="C24:E24"/>
    <mergeCell ref="C18:I18"/>
    <mergeCell ref="L6:O6"/>
    <mergeCell ref="B71:I71"/>
    <mergeCell ref="L18:O18"/>
    <mergeCell ref="B140:E140"/>
    <mergeCell ref="B77:I77"/>
    <mergeCell ref="C106:E106"/>
    <mergeCell ref="B79:B106"/>
    <mergeCell ref="C83:C87"/>
    <mergeCell ref="B107:E107"/>
    <mergeCell ref="C33:I33"/>
    <mergeCell ref="C102:E102"/>
    <mergeCell ref="B70:I70"/>
    <mergeCell ref="C99:E99"/>
    <mergeCell ref="C81:E81"/>
    <mergeCell ref="C90:C98"/>
    <mergeCell ref="B76:E76"/>
    <mergeCell ref="B75:E75"/>
    <mergeCell ref="B68:E68"/>
    <mergeCell ref="C100:I100"/>
    <mergeCell ref="B69:E69"/>
    <mergeCell ref="C89:I89"/>
    <mergeCell ref="B139:E139"/>
    <mergeCell ref="C103:I103"/>
    <mergeCell ref="C138:E138"/>
  </mergeCells>
  <conditionalFormatting sqref="H171:H180">
    <cfRule type="containsBlanks" dxfId="31" priority="24">
      <formula>LEN(TRIM(H171))=0</formula>
    </cfRule>
  </conditionalFormatting>
  <conditionalFormatting sqref="H183:H191">
    <cfRule type="containsBlanks" dxfId="30" priority="23">
      <formula>LEN(TRIM(H183))=0</formula>
    </cfRule>
  </conditionalFormatting>
  <conditionalFormatting sqref="H160:H163">
    <cfRule type="containsBlanks" dxfId="29" priority="22">
      <formula>LEN(TRIM(H160))=0</formula>
    </cfRule>
  </conditionalFormatting>
  <conditionalFormatting sqref="H144:H145">
    <cfRule type="containsBlanks" dxfId="28" priority="21">
      <formula>LEN(TRIM(H144))=0</formula>
    </cfRule>
  </conditionalFormatting>
  <conditionalFormatting sqref="H137">
    <cfRule type="containsBlanks" dxfId="27" priority="20">
      <formula>LEN(TRIM(H137))=0</formula>
    </cfRule>
  </conditionalFormatting>
  <conditionalFormatting sqref="H134">
    <cfRule type="containsBlanks" dxfId="26" priority="19">
      <formula>LEN(TRIM(H134))=0</formula>
    </cfRule>
  </conditionalFormatting>
  <conditionalFormatting sqref="H131">
    <cfRule type="containsBlanks" dxfId="25" priority="18">
      <formula>LEN(TRIM(H131))=0</formula>
    </cfRule>
  </conditionalFormatting>
  <conditionalFormatting sqref="H110:H128">
    <cfRule type="containsBlanks" dxfId="24" priority="17">
      <formula>LEN(TRIM(H110))=0</formula>
    </cfRule>
  </conditionalFormatting>
  <conditionalFormatting sqref="H104:H105">
    <cfRule type="containsBlanks" dxfId="23" priority="16">
      <formula>LEN(TRIM(H104))=0</formula>
    </cfRule>
  </conditionalFormatting>
  <conditionalFormatting sqref="H101">
    <cfRule type="containsBlanks" dxfId="22" priority="15">
      <formula>LEN(TRIM(H101))=0</formula>
    </cfRule>
  </conditionalFormatting>
  <conditionalFormatting sqref="H90:H98">
    <cfRule type="containsBlanks" dxfId="21" priority="14">
      <formula>LEN(TRIM(H90))=0</formula>
    </cfRule>
  </conditionalFormatting>
  <conditionalFormatting sqref="H83:H87">
    <cfRule type="containsBlanks" dxfId="20" priority="13">
      <formula>LEN(TRIM(H83))=0</formula>
    </cfRule>
  </conditionalFormatting>
  <conditionalFormatting sqref="H80">
    <cfRule type="containsBlanks" dxfId="19" priority="12">
      <formula>LEN(TRIM(H80))=0</formula>
    </cfRule>
  </conditionalFormatting>
  <conditionalFormatting sqref="H73">
    <cfRule type="containsBlanks" dxfId="18" priority="11">
      <formula>LEN(TRIM(H73))=0</formula>
    </cfRule>
  </conditionalFormatting>
  <conditionalFormatting sqref="H65:H66">
    <cfRule type="containsBlanks" dxfId="17" priority="10">
      <formula>LEN(TRIM(H65))=0</formula>
    </cfRule>
  </conditionalFormatting>
  <conditionalFormatting sqref="H58:H62">
    <cfRule type="containsBlanks" dxfId="16" priority="9">
      <formula>LEN(TRIM(H58))=0</formula>
    </cfRule>
  </conditionalFormatting>
  <conditionalFormatting sqref="H50:H55">
    <cfRule type="containsBlanks" dxfId="15" priority="8">
      <formula>LEN(TRIM(H50))=0</formula>
    </cfRule>
  </conditionalFormatting>
  <conditionalFormatting sqref="H42:H47">
    <cfRule type="containsBlanks" dxfId="14" priority="7">
      <formula>LEN(TRIM(H42))=0</formula>
    </cfRule>
  </conditionalFormatting>
  <conditionalFormatting sqref="H34:H39">
    <cfRule type="containsBlanks" dxfId="13" priority="6">
      <formula>LEN(TRIM(H34))=0</formula>
    </cfRule>
  </conditionalFormatting>
  <conditionalFormatting sqref="H26:H31">
    <cfRule type="containsBlanks" dxfId="12" priority="5">
      <formula>LEN(TRIM(H26))=0</formula>
    </cfRule>
  </conditionalFormatting>
  <conditionalFormatting sqref="H19:H23">
    <cfRule type="containsBlanks" dxfId="11" priority="4">
      <formula>LEN(TRIM(H19))=0</formula>
    </cfRule>
  </conditionalFormatting>
  <conditionalFormatting sqref="H14:H16">
    <cfRule type="containsBlanks" dxfId="10" priority="3">
      <formula>LEN(TRIM(H14))=0</formula>
    </cfRule>
  </conditionalFormatting>
  <conditionalFormatting sqref="H7:H11">
    <cfRule type="containsBlanks" dxfId="9" priority="2">
      <formula>LEN(TRIM(H7))=0</formula>
    </cfRule>
  </conditionalFormatting>
  <conditionalFormatting sqref="E161">
    <cfRule type="containsBlanks" dxfId="8" priority="1">
      <formula>LEN(TRIM(E161))=0</formula>
    </cfRule>
  </conditionalFormatting>
  <pageMargins left="0.19685039370078741" right="0.19685039370078741" top="0.78740157480314965" bottom="0.6692913385826772" header="0.31496062992125984" footer="0.31496062992125984"/>
  <pageSetup paperSize="9" scale="76" orientation="portrait" r:id="rId1"/>
  <headerFooter>
    <oddFooter xml:space="preserve">&amp;C&amp;P+13
</oddFooter>
  </headerFooter>
  <rowBreaks count="3" manualBreakCount="3">
    <brk id="63" max="8" man="1"/>
    <brk id="129" max="8" man="1"/>
    <brk id="16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41BBF6D867B4584F0431B0F61DA3F" ma:contentTypeVersion="1" ma:contentTypeDescription="Create a new document." ma:contentTypeScope="" ma:versionID="03ea5624ae576f704d6fd260ca12f5c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89941C-6ABC-493C-ACE7-384D5325F38B}"/>
</file>

<file path=customXml/itemProps2.xml><?xml version="1.0" encoding="utf-8"?>
<ds:datastoreItem xmlns:ds="http://schemas.openxmlformats.org/officeDocument/2006/customXml" ds:itemID="{5EACC671-889C-43A6-93BB-089750D3F62F}"/>
</file>

<file path=customXml/itemProps3.xml><?xml version="1.0" encoding="utf-8"?>
<ds:datastoreItem xmlns:ds="http://schemas.openxmlformats.org/officeDocument/2006/customXml" ds:itemID="{C1EED06A-E2CE-4CD7-A6C7-FC42FBBD5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الواجهة</vt:lpstr>
      <vt:lpstr>خلاصة</vt:lpstr>
      <vt:lpstr>ر-باب</vt:lpstr>
      <vt:lpstr>ن-باب</vt:lpstr>
      <vt:lpstr>ر-فصل</vt:lpstr>
      <vt:lpstr>ن-فصل</vt:lpstr>
      <vt:lpstr>ر-مواد</vt:lpstr>
      <vt:lpstr>ن-مواد</vt:lpstr>
      <vt:lpstr>ر-فرعي</vt:lpstr>
      <vt:lpstr>ن-فرعي</vt:lpstr>
      <vt:lpstr> جهات</vt:lpstr>
      <vt:lpstr>غير نقدي</vt:lpstr>
      <vt:lpstr>غير نقدي حاسوب</vt:lpstr>
      <vt:lpstr>2020</vt:lpstr>
      <vt:lpstr>' جهات'!Print_Area</vt:lpstr>
      <vt:lpstr>خلاصة!Print_Area</vt:lpstr>
      <vt:lpstr>'ر-باب'!Print_Area</vt:lpstr>
      <vt:lpstr>'ر-فرعي'!Print_Area</vt:lpstr>
      <vt:lpstr>'ر-فصل'!Print_Area</vt:lpstr>
      <vt:lpstr>'ر-مواد'!Print_Area</vt:lpstr>
      <vt:lpstr>'ن-باب'!Print_Area</vt:lpstr>
      <vt:lpstr>'ن-فرعي'!Print_Area</vt:lpstr>
      <vt:lpstr>'ن-فصل'!Print_Area</vt:lpstr>
      <vt:lpstr>'ن-مواد'!Print_Area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</dc:creator>
  <cp:lastModifiedBy>Shafi</cp:lastModifiedBy>
  <cp:lastPrinted>2020-02-26T09:16:26Z</cp:lastPrinted>
  <dcterms:created xsi:type="dcterms:W3CDTF">2015-11-17T18:14:20Z</dcterms:created>
  <dcterms:modified xsi:type="dcterms:W3CDTF">2021-02-23T09:30:41Z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0x01010046341BBF6D867B4584F0431B0F61DA3F</vt:lpwstr>
  </property>
</Properties>
</file>